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29"/>
  <workbookPr showInkAnnotation="0" codeName="ThisWorkbook"/>
  <mc:AlternateContent xmlns:mc="http://schemas.openxmlformats.org/markup-compatibility/2006">
    <mc:Choice Requires="x15">
      <x15ac:absPath xmlns:x15ac="http://schemas.microsoft.com/office/spreadsheetml/2010/11/ac" url="C:\Users\lpineda\Documents\JOSÉ LUNA GÁLVEZ\Página Wb\Presentaciones\Regiones\Madre de Dios\"/>
    </mc:Choice>
  </mc:AlternateContent>
  <xr:revisionPtr revIDLastSave="0" documentId="8_{2DAFA611-7274-440E-82C4-97DB4EAE90F2}" xr6:coauthVersionLast="47" xr6:coauthVersionMax="47" xr10:uidLastSave="{00000000-0000-0000-0000-000000000000}"/>
  <bookViews>
    <workbookView xWindow="-120" yWindow="-120" windowWidth="24240" windowHeight="13140" tabRatio="825" activeTab="12" xr2:uid="{00000000-000D-0000-FFFF-FFFF00000000}"/>
  </bookViews>
  <sheets>
    <sheet name="Índice" sheetId="55" r:id="rId1"/>
    <sheet name="F-01" sheetId="62" r:id="rId2"/>
    <sheet name="F-02" sheetId="81" r:id="rId3"/>
    <sheet name="F-03" sheetId="70" r:id="rId4"/>
    <sheet name="F-04" sheetId="82" r:id="rId5"/>
    <sheet name="F-05 " sheetId="83" r:id="rId6"/>
    <sheet name="F-06" sheetId="57" r:id="rId7"/>
    <sheet name="F-07" sheetId="9" r:id="rId8"/>
    <sheet name="F-08 " sheetId="84" r:id="rId9"/>
    <sheet name="F-09" sheetId="60" r:id="rId10"/>
    <sheet name="F-10" sheetId="32" r:id="rId11"/>
    <sheet name="F-11" sheetId="45" r:id="rId12"/>
    <sheet name="F-12 " sheetId="85" r:id="rId13"/>
    <sheet name="F-13 " sheetId="86" r:id="rId14"/>
    <sheet name="F-14" sheetId="51" r:id="rId15"/>
    <sheet name="F-15" sheetId="39" r:id="rId16"/>
    <sheet name="F-16" sheetId="79" r:id="rId17"/>
    <sheet name="F-17" sheetId="53" r:id="rId18"/>
    <sheet name="F-18" sheetId="64" r:id="rId19"/>
    <sheet name="Hoja2" sheetId="80" r:id="rId20"/>
    <sheet name="Hoja1" sheetId="78" state="hidden" r:id="rId21"/>
  </sheets>
  <definedNames>
    <definedName name="_xlnm.Print_Area" localSheetId="1">'F-01'!$A$1:$N$18</definedName>
    <definedName name="_xlnm.Print_Area" localSheetId="6">'F-06'!$A$1:$N$51</definedName>
    <definedName name="_xlnm.Print_Area" localSheetId="7">'F-07'!$A$1:$Q$25</definedName>
    <definedName name="_xlnm.Print_Area" localSheetId="8">'F-08 '!$A$1:$R$109</definedName>
    <definedName name="_xlnm.Print_Area" localSheetId="9">'F-09'!$A$1:$X$34</definedName>
    <definedName name="_xlnm.Print_Area" localSheetId="10">'F-10'!$A$1:$I$24</definedName>
    <definedName name="_xlnm.Print_Area" localSheetId="11">'F-11'!$A$1:$AI$70</definedName>
    <definedName name="_xlnm.Print_Area" localSheetId="12">'F-12 '!$A$1:$K$41</definedName>
    <definedName name="_xlnm.Print_Area" localSheetId="13">'F-13 '!$A$1:$O$31</definedName>
    <definedName name="_xlnm.Print_Area" localSheetId="14">'F-14'!$A$1:$J$25</definedName>
    <definedName name="_xlnm.Print_Area" localSheetId="15">'F-15'!$A$1:$H$21</definedName>
    <definedName name="_xlnm.Print_Area" localSheetId="16">'F-16'!$A$1:$H$28</definedName>
    <definedName name="_xlnm.Print_Area" localSheetId="17">'F-17'!$A$1:$P$19</definedName>
    <definedName name="_xlnm.Print_Area" localSheetId="18">'F-18'!$A$1:$L$19</definedName>
    <definedName name="_xlnm.Print_Area" localSheetId="0">Índice!$A$1:$E$35</definedName>
    <definedName name="dd" localSheetId="2">#REF!</definedName>
    <definedName name="dd" localSheetId="3">#REF!</definedName>
    <definedName name="dd" localSheetId="4">#REF!</definedName>
    <definedName name="dd" localSheetId="5">#REF!</definedName>
    <definedName name="dd" localSheetId="8">#REF!</definedName>
    <definedName name="dd" localSheetId="12">#REF!</definedName>
    <definedName name="dd">#REF!</definedName>
    <definedName name="DIRECREC" localSheetId="1">#REF!</definedName>
    <definedName name="DIRECREC" localSheetId="3">#REF!</definedName>
    <definedName name="DIRECREC" localSheetId="5">#REF!</definedName>
    <definedName name="DIRECREC" localSheetId="6">#REF!</definedName>
    <definedName name="DIRECREC" localSheetId="9">#REF!</definedName>
    <definedName name="DIRECREC" localSheetId="18">#REF!</definedName>
    <definedName name="DIRECREC">#REF!</definedName>
    <definedName name="DONAC" localSheetId="1">#REF!</definedName>
    <definedName name="DONAC" localSheetId="3">#REF!</definedName>
    <definedName name="DONAC" localSheetId="5">#REF!</definedName>
    <definedName name="DONAC" localSheetId="6">#REF!</definedName>
    <definedName name="DONAC" localSheetId="9">#REF!</definedName>
    <definedName name="DONAC" localSheetId="18">#REF!</definedName>
    <definedName name="DONAC">#REF!</definedName>
    <definedName name="EE" localSheetId="3">#REF!</definedName>
    <definedName name="EE" localSheetId="5">#REF!</definedName>
    <definedName name="EE">#REF!</definedName>
    <definedName name="RECORD" localSheetId="1">#REF!</definedName>
    <definedName name="RECORD" localSheetId="3">#REF!</definedName>
    <definedName name="RECORD" localSheetId="5">#REF!</definedName>
    <definedName name="RECORD" localSheetId="6">#REF!</definedName>
    <definedName name="RECORD" localSheetId="9">#REF!</definedName>
    <definedName name="RECORD" localSheetId="18">#REF!</definedName>
    <definedName name="RECORD">#REF!</definedName>
    <definedName name="RECPUB" localSheetId="1">#REF!</definedName>
    <definedName name="RECPUB" localSheetId="3">#REF!</definedName>
    <definedName name="RECPUB" localSheetId="5">#REF!</definedName>
    <definedName name="RECPUB" localSheetId="6">#REF!</definedName>
    <definedName name="RECPUB" localSheetId="9">#REF!</definedName>
    <definedName name="RECPUB" localSheetId="18">#REF!</definedName>
    <definedName name="RECPUB">#REF!</definedName>
    <definedName name="_xlnm.Print_Titles" localSheetId="1">'F-01'!$3:$3</definedName>
    <definedName name="_xlnm.Print_Titles" localSheetId="0">Índice!$1:$1</definedName>
    <definedName name="XPRINT" localSheetId="1">#REF!</definedName>
    <definedName name="XPRINT" localSheetId="3">#REF!</definedName>
    <definedName name="XPRINT" localSheetId="5">#REF!</definedName>
    <definedName name="XPRINT" localSheetId="6">#REF!</definedName>
    <definedName name="XPRINT" localSheetId="9">#REF!</definedName>
    <definedName name="XPRINT" localSheetId="18">#REF!</definedName>
    <definedName name="XPRINT">#REF!</definedName>
    <definedName name="XPRINT2" localSheetId="1">#REF!</definedName>
    <definedName name="XPRINT2" localSheetId="3">#REF!</definedName>
    <definedName name="XPRINT2" localSheetId="5">#REF!</definedName>
    <definedName name="XPRINT2" localSheetId="6">#REF!</definedName>
    <definedName name="XPRINT2" localSheetId="9">#REF!</definedName>
    <definedName name="XPRINT2" localSheetId="18">#REF!</definedName>
    <definedName name="XPRINT2">#REF!</definedName>
    <definedName name="XPRINT3" localSheetId="1">#REF!</definedName>
    <definedName name="XPRINT3" localSheetId="3">#REF!</definedName>
    <definedName name="XPRINT3" localSheetId="5">#REF!</definedName>
    <definedName name="XPRINT3" localSheetId="6">#REF!</definedName>
    <definedName name="XPRINT3" localSheetId="9">#REF!</definedName>
    <definedName name="XPRINT3" localSheetId="18">#REF!</definedName>
    <definedName name="XPRINT3">#REF!</definedName>
    <definedName name="XPRINT4" localSheetId="1">#REF!</definedName>
    <definedName name="XPRINT4" localSheetId="3">#REF!</definedName>
    <definedName name="XPRINT4" localSheetId="5">#REF!</definedName>
    <definedName name="XPRINT4" localSheetId="6">#REF!</definedName>
    <definedName name="XPRINT4" localSheetId="9">#REF!</definedName>
    <definedName name="XPRINT4" localSheetId="18">#REF!</definedName>
    <definedName name="XPRINT4">#REF!</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I99" i="84" l="1"/>
  <c r="I47" i="84"/>
  <c r="Q47" i="84" s="1"/>
  <c r="I43" i="84"/>
  <c r="I51" i="84"/>
  <c r="Q39" i="84"/>
  <c r="I39" i="84"/>
  <c r="Q99" i="84"/>
  <c r="N91" i="84"/>
  <c r="N63" i="84"/>
  <c r="N75" i="84"/>
  <c r="N83" i="84"/>
  <c r="N43" i="84"/>
  <c r="N15" i="84"/>
  <c r="N51" i="84"/>
  <c r="Q51" i="84" s="1"/>
  <c r="D39" i="83" l="1"/>
  <c r="E16" i="81" l="1"/>
  <c r="AB76" i="45" l="1"/>
  <c r="AA76" i="45"/>
  <c r="Y76" i="45"/>
  <c r="X76" i="45"/>
  <c r="W76" i="45"/>
  <c r="V76" i="45"/>
  <c r="U76" i="45"/>
  <c r="T76" i="45"/>
  <c r="S76" i="45"/>
  <c r="R76" i="45"/>
  <c r="Q76" i="45"/>
  <c r="M76" i="45"/>
  <c r="L76" i="45"/>
  <c r="J76" i="45"/>
  <c r="I76" i="45"/>
  <c r="H76" i="45"/>
  <c r="G76" i="45"/>
  <c r="F76" i="45"/>
  <c r="E76" i="45"/>
  <c r="D76" i="45"/>
  <c r="C76" i="45"/>
  <c r="B76" i="45"/>
  <c r="AC35" i="45"/>
  <c r="Z35" i="45"/>
  <c r="N35" i="45"/>
  <c r="O35" i="45" s="1"/>
  <c r="P35" i="45" s="1"/>
  <c r="K35" i="45"/>
  <c r="AC34" i="45"/>
  <c r="Z34" i="45"/>
  <c r="N34" i="45"/>
  <c r="K34" i="45"/>
  <c r="AC31" i="45"/>
  <c r="Z31" i="45"/>
  <c r="N31" i="45"/>
  <c r="K31" i="45"/>
  <c r="AC30" i="45"/>
  <c r="Z30" i="45"/>
  <c r="AD30" i="45" s="1"/>
  <c r="AE30" i="45" s="1"/>
  <c r="AI30" i="45" s="1"/>
  <c r="N30" i="45"/>
  <c r="K30" i="45"/>
  <c r="O30" i="45" s="1"/>
  <c r="P30" i="45" s="1"/>
  <c r="AC29" i="45"/>
  <c r="Z29" i="45"/>
  <c r="N29" i="45"/>
  <c r="K29" i="45"/>
  <c r="AC28" i="45"/>
  <c r="Z28" i="45"/>
  <c r="N28" i="45"/>
  <c r="K28" i="45"/>
  <c r="AC27" i="45"/>
  <c r="Z27" i="45"/>
  <c r="N27" i="45"/>
  <c r="K27" i="45"/>
  <c r="AC24" i="45"/>
  <c r="Z24" i="45"/>
  <c r="N24" i="45"/>
  <c r="K24" i="45"/>
  <c r="AC23" i="45"/>
  <c r="Z23" i="45"/>
  <c r="N23" i="45"/>
  <c r="O23" i="45" s="1"/>
  <c r="P23" i="45" s="1"/>
  <c r="K23" i="45"/>
  <c r="AC22" i="45"/>
  <c r="Z22" i="45"/>
  <c r="N22" i="45"/>
  <c r="K22" i="45"/>
  <c r="O22" i="45" s="1"/>
  <c r="P22" i="45" s="1"/>
  <c r="AC21" i="45"/>
  <c r="Z21" i="45"/>
  <c r="N21" i="45"/>
  <c r="K21" i="45"/>
  <c r="AC20" i="45"/>
  <c r="Z20" i="45"/>
  <c r="N20" i="45"/>
  <c r="K20" i="45"/>
  <c r="O20" i="45" s="1"/>
  <c r="P20" i="45" s="1"/>
  <c r="AC17" i="45"/>
  <c r="Z17" i="45"/>
  <c r="N17" i="45"/>
  <c r="K17" i="45"/>
  <c r="O17" i="45" s="1"/>
  <c r="P17" i="45" s="1"/>
  <c r="AC16" i="45"/>
  <c r="Z16" i="45"/>
  <c r="AD16" i="45" s="1"/>
  <c r="AE16" i="45" s="1"/>
  <c r="AI16" i="45" s="1"/>
  <c r="N16" i="45"/>
  <c r="K16" i="45"/>
  <c r="AC15" i="45"/>
  <c r="Z15" i="45"/>
  <c r="N15" i="45"/>
  <c r="K15" i="45"/>
  <c r="AC14" i="45"/>
  <c r="Z14" i="45"/>
  <c r="N14" i="45"/>
  <c r="K14" i="45"/>
  <c r="AC13" i="45"/>
  <c r="Z13" i="45"/>
  <c r="N13" i="45"/>
  <c r="K13" i="45"/>
  <c r="AC12" i="45"/>
  <c r="Z12" i="45"/>
  <c r="N12" i="45"/>
  <c r="K12" i="45"/>
  <c r="O12" i="45" s="1"/>
  <c r="P12" i="45" s="1"/>
  <c r="AC11" i="45"/>
  <c r="Z11" i="45"/>
  <c r="N11" i="45"/>
  <c r="K11" i="45"/>
  <c r="O11" i="45" s="1"/>
  <c r="P11" i="45" s="1"/>
  <c r="AH10" i="45"/>
  <c r="AC10" i="45"/>
  <c r="Z10" i="45"/>
  <c r="N10" i="45"/>
  <c r="N76" i="45" s="1"/>
  <c r="K10" i="45"/>
  <c r="W41" i="60"/>
  <c r="V41" i="60"/>
  <c r="U41" i="60"/>
  <c r="T41" i="60"/>
  <c r="S41" i="60"/>
  <c r="R41" i="60"/>
  <c r="Q41" i="60"/>
  <c r="P41" i="60"/>
  <c r="O41" i="60"/>
  <c r="N41" i="60"/>
  <c r="L41" i="60"/>
  <c r="J41" i="60"/>
  <c r="I41" i="60"/>
  <c r="H41" i="60"/>
  <c r="G41" i="60"/>
  <c r="F41" i="60"/>
  <c r="E41" i="60"/>
  <c r="C41" i="60"/>
  <c r="B41" i="60"/>
  <c r="M40" i="60"/>
  <c r="K40" i="60"/>
  <c r="M39" i="60"/>
  <c r="D39" i="60"/>
  <c r="K39" i="60" s="1"/>
  <c r="M34" i="60"/>
  <c r="M33" i="60"/>
  <c r="K33" i="60"/>
  <c r="M30" i="60"/>
  <c r="K30" i="60"/>
  <c r="M29" i="60"/>
  <c r="K29" i="60"/>
  <c r="M28" i="60"/>
  <c r="K28" i="60"/>
  <c r="M27" i="60"/>
  <c r="K27" i="60"/>
  <c r="M26" i="60"/>
  <c r="K26" i="60"/>
  <c r="M23" i="60"/>
  <c r="K23" i="60"/>
  <c r="M22" i="60"/>
  <c r="K22" i="60"/>
  <c r="M21" i="60"/>
  <c r="K21" i="60"/>
  <c r="M20" i="60"/>
  <c r="K20" i="60"/>
  <c r="M19" i="60"/>
  <c r="K19" i="60"/>
  <c r="M16" i="60"/>
  <c r="K16" i="60"/>
  <c r="M15" i="60"/>
  <c r="K15" i="60"/>
  <c r="M14" i="60"/>
  <c r="K14" i="60"/>
  <c r="M13" i="60"/>
  <c r="K13" i="60"/>
  <c r="M12" i="60"/>
  <c r="K12" i="60"/>
  <c r="M11" i="60"/>
  <c r="K11" i="60"/>
  <c r="M10" i="60"/>
  <c r="K10" i="60"/>
  <c r="M9" i="60"/>
  <c r="K9" i="60"/>
  <c r="AD31" i="45" l="1"/>
  <c r="AE31" i="45" s="1"/>
  <c r="AI31" i="45" s="1"/>
  <c r="O34" i="45"/>
  <c r="P34" i="45" s="1"/>
  <c r="AD20" i="45"/>
  <c r="AE20" i="45" s="1"/>
  <c r="AI20" i="45" s="1"/>
  <c r="O21" i="45"/>
  <c r="P21" i="45" s="1"/>
  <c r="AD28" i="45"/>
  <c r="AE28" i="45" s="1"/>
  <c r="AI28" i="45" s="1"/>
  <c r="K41" i="60"/>
  <c r="O13" i="45"/>
  <c r="P13" i="45" s="1"/>
  <c r="O29" i="45"/>
  <c r="P29" i="45" s="1"/>
  <c r="O31" i="45"/>
  <c r="P31" i="45" s="1"/>
  <c r="AD11" i="45"/>
  <c r="AE11" i="45" s="1"/>
  <c r="AI11" i="45" s="1"/>
  <c r="AD21" i="45"/>
  <c r="AE21" i="45" s="1"/>
  <c r="AI21" i="45" s="1"/>
  <c r="K76" i="45"/>
  <c r="AD12" i="45"/>
  <c r="AE12" i="45" s="1"/>
  <c r="AI12" i="45" s="1"/>
  <c r="AD13" i="45"/>
  <c r="AE13" i="45" s="1"/>
  <c r="AI13" i="45" s="1"/>
  <c r="AD14" i="45"/>
  <c r="AE14" i="45" s="1"/>
  <c r="AI14" i="45" s="1"/>
  <c r="AD15" i="45"/>
  <c r="AE15" i="45" s="1"/>
  <c r="AI15" i="45" s="1"/>
  <c r="O24" i="45"/>
  <c r="P24" i="45" s="1"/>
  <c r="O27" i="45"/>
  <c r="P27" i="45" s="1"/>
  <c r="O28" i="45"/>
  <c r="P28" i="45" s="1"/>
  <c r="AD29" i="45"/>
  <c r="AE29" i="45" s="1"/>
  <c r="AI29" i="45" s="1"/>
  <c r="AD34" i="45"/>
  <c r="AE34" i="45" s="1"/>
  <c r="AI34" i="45" s="1"/>
  <c r="AD35" i="45"/>
  <c r="AE35" i="45" s="1"/>
  <c r="AI35" i="45" s="1"/>
  <c r="M41" i="60"/>
  <c r="D41" i="60"/>
  <c r="AD10" i="45"/>
  <c r="O14" i="45"/>
  <c r="P14" i="45" s="1"/>
  <c r="O15" i="45"/>
  <c r="P15" i="45" s="1"/>
  <c r="O16" i="45"/>
  <c r="P16" i="45" s="1"/>
  <c r="AD17" i="45"/>
  <c r="AE17" i="45" s="1"/>
  <c r="AI17" i="45" s="1"/>
  <c r="AD22" i="45"/>
  <c r="AE22" i="45" s="1"/>
  <c r="AI22" i="45" s="1"/>
  <c r="AD23" i="45"/>
  <c r="AE23" i="45" s="1"/>
  <c r="AI23" i="45" s="1"/>
  <c r="AD24" i="45"/>
  <c r="AE24" i="45" s="1"/>
  <c r="AI24" i="45" s="1"/>
  <c r="AD27" i="45"/>
  <c r="AE27" i="45" s="1"/>
  <c r="AI27" i="45" s="1"/>
  <c r="AC76" i="45"/>
  <c r="AE10" i="45"/>
  <c r="O10" i="45"/>
  <c r="Z76" i="45"/>
  <c r="AD76" i="45" l="1"/>
  <c r="O76" i="45"/>
  <c r="P10" i="45"/>
  <c r="P76" i="45" s="1"/>
  <c r="AE76" i="45"/>
  <c r="AI10" i="45"/>
  <c r="AF10" i="45"/>
  <c r="AG10" i="45" l="1"/>
  <c r="Q24" i="9"/>
  <c r="O24" i="9"/>
  <c r="N24" i="9"/>
  <c r="L24" i="9"/>
  <c r="K24" i="9"/>
  <c r="J24" i="9"/>
  <c r="I24" i="9"/>
  <c r="G24" i="9"/>
  <c r="F24" i="9"/>
  <c r="E24" i="9"/>
  <c r="D24" i="9"/>
  <c r="C24" i="9"/>
  <c r="M23" i="9"/>
  <c r="H23" i="9"/>
  <c r="P23" i="9" s="1"/>
  <c r="M22" i="9"/>
  <c r="H22" i="9"/>
  <c r="M21" i="9"/>
  <c r="H21" i="9"/>
  <c r="M20" i="9"/>
  <c r="H20" i="9"/>
  <c r="M19" i="9"/>
  <c r="H19" i="9"/>
  <c r="P19" i="9" s="1"/>
  <c r="M18" i="9"/>
  <c r="H18" i="9"/>
  <c r="M17" i="9"/>
  <c r="H17" i="9"/>
  <c r="M16" i="9"/>
  <c r="H16" i="9"/>
  <c r="M15" i="9"/>
  <c r="H15" i="9"/>
  <c r="M14" i="9"/>
  <c r="H14" i="9"/>
  <c r="M13" i="9"/>
  <c r="H13" i="9"/>
  <c r="P13" i="9" s="1"/>
  <c r="M12" i="9"/>
  <c r="H12" i="9"/>
  <c r="M11" i="9"/>
  <c r="H11" i="9"/>
  <c r="P11" i="9" s="1"/>
  <c r="M10" i="9"/>
  <c r="H10" i="9"/>
  <c r="P10" i="9" s="1"/>
  <c r="M9" i="9"/>
  <c r="H9" i="9"/>
  <c r="P9" i="9" s="1"/>
  <c r="M8" i="9"/>
  <c r="H8" i="9"/>
  <c r="M7" i="9"/>
  <c r="H7" i="9"/>
  <c r="P7" i="9" s="1"/>
  <c r="M6" i="9"/>
  <c r="H6" i="9"/>
  <c r="M5" i="9"/>
  <c r="H5" i="9"/>
  <c r="P5" i="9" s="1"/>
  <c r="P8" i="9" l="1"/>
  <c r="P17" i="9"/>
  <c r="P21" i="9"/>
  <c r="P14" i="9"/>
  <c r="P18" i="9"/>
  <c r="P12" i="9"/>
  <c r="M24" i="9"/>
  <c r="P16" i="9"/>
  <c r="P6" i="9"/>
  <c r="P15" i="9"/>
  <c r="P20" i="9"/>
  <c r="P22" i="9"/>
  <c r="H24" i="9"/>
  <c r="E25" i="51"/>
  <c r="P24" i="9" l="1"/>
  <c r="N10" i="86"/>
  <c r="K35" i="85" l="1"/>
  <c r="J35" i="85"/>
  <c r="I35" i="85"/>
  <c r="H35" i="85"/>
  <c r="K33" i="85"/>
  <c r="J33" i="85"/>
  <c r="I33" i="85"/>
  <c r="H33" i="85"/>
  <c r="K32" i="85"/>
  <c r="J32" i="85"/>
  <c r="I32" i="85"/>
  <c r="H32" i="85"/>
  <c r="K31" i="85"/>
  <c r="J31" i="85"/>
  <c r="I31" i="85"/>
  <c r="H31" i="85"/>
  <c r="K30" i="85"/>
  <c r="J30" i="85"/>
  <c r="I30" i="85"/>
  <c r="H30" i="85"/>
  <c r="K28" i="85"/>
  <c r="J28" i="85"/>
  <c r="I28" i="85"/>
  <c r="H28" i="85"/>
  <c r="K27" i="85"/>
  <c r="J27" i="85"/>
  <c r="I27" i="85"/>
  <c r="H27" i="85"/>
  <c r="K26" i="85"/>
  <c r="J26" i="85"/>
  <c r="I26" i="85"/>
  <c r="H26" i="85"/>
  <c r="K25" i="85"/>
  <c r="J25" i="85"/>
  <c r="I25" i="85"/>
  <c r="H25" i="85"/>
  <c r="K24" i="85"/>
  <c r="J24" i="85"/>
  <c r="H24" i="85"/>
  <c r="K23" i="85"/>
  <c r="J23" i="85"/>
  <c r="I23" i="85"/>
  <c r="H23" i="85"/>
  <c r="K22" i="85"/>
  <c r="J22" i="85"/>
  <c r="I22" i="85"/>
  <c r="H22" i="85"/>
  <c r="K20" i="85"/>
  <c r="J20" i="85"/>
  <c r="I20" i="85"/>
  <c r="H20" i="85"/>
  <c r="K19" i="85"/>
  <c r="J19" i="85"/>
  <c r="I19" i="85"/>
  <c r="H19" i="85"/>
  <c r="K17" i="85"/>
  <c r="J17" i="85"/>
  <c r="I17" i="85"/>
  <c r="H17" i="85"/>
  <c r="K16" i="85"/>
  <c r="J16" i="85"/>
  <c r="I16" i="85"/>
  <c r="H16" i="85"/>
  <c r="K15" i="85"/>
  <c r="J15" i="85"/>
  <c r="I15" i="85"/>
  <c r="H15" i="85"/>
  <c r="K14" i="85"/>
  <c r="J14" i="85"/>
  <c r="I14" i="85"/>
  <c r="H14" i="85"/>
  <c r="K12" i="85"/>
  <c r="J12" i="85"/>
  <c r="I12" i="85"/>
  <c r="H12" i="85"/>
  <c r="K11" i="85"/>
  <c r="J11" i="85"/>
  <c r="I11" i="85"/>
  <c r="H11" i="85"/>
  <c r="K7" i="85"/>
  <c r="J7" i="85"/>
  <c r="I7" i="85"/>
  <c r="H7" i="85"/>
  <c r="K6" i="85"/>
  <c r="J6" i="85"/>
  <c r="I6" i="85"/>
  <c r="H6" i="85"/>
  <c r="N107" i="84"/>
  <c r="L107" i="84"/>
  <c r="L106" i="84"/>
  <c r="H106" i="84"/>
  <c r="F106" i="84"/>
  <c r="E106" i="84"/>
  <c r="D106" i="84"/>
  <c r="L105" i="84"/>
  <c r="H105" i="84"/>
  <c r="F105" i="84"/>
  <c r="E105" i="84"/>
  <c r="D105" i="84"/>
  <c r="R102" i="84"/>
  <c r="R101" i="84"/>
  <c r="D100" i="84"/>
  <c r="I98" i="84"/>
  <c r="Q98" i="84" s="1"/>
  <c r="R98" i="84" s="1"/>
  <c r="I97" i="84"/>
  <c r="Q97" i="84" s="1"/>
  <c r="R97" i="84" s="1"/>
  <c r="D96" i="84"/>
  <c r="I95" i="84"/>
  <c r="I94" i="84"/>
  <c r="Q94" i="84" s="1"/>
  <c r="R94" i="84" s="1"/>
  <c r="Q93" i="84"/>
  <c r="R93" i="84" s="1"/>
  <c r="I93" i="84"/>
  <c r="L92" i="84"/>
  <c r="F92" i="84"/>
  <c r="I91" i="84"/>
  <c r="N90" i="84"/>
  <c r="N92" i="84" s="1"/>
  <c r="I90" i="84"/>
  <c r="Q90" i="84" s="1"/>
  <c r="R90" i="84" s="1"/>
  <c r="N89" i="84"/>
  <c r="I89" i="84"/>
  <c r="R86" i="84"/>
  <c r="N85" i="84"/>
  <c r="Q85" i="84" s="1"/>
  <c r="R85" i="84" s="1"/>
  <c r="L84" i="84"/>
  <c r="H84" i="84"/>
  <c r="E84" i="84"/>
  <c r="F84" i="84"/>
  <c r="D84" i="84"/>
  <c r="N82" i="84"/>
  <c r="N84" i="84" s="1"/>
  <c r="I82" i="84"/>
  <c r="N81" i="84"/>
  <c r="I81" i="84"/>
  <c r="Q81" i="84" s="1"/>
  <c r="R81" i="84" s="1"/>
  <c r="D80" i="84"/>
  <c r="I79" i="84"/>
  <c r="R78" i="84"/>
  <c r="I78" i="84"/>
  <c r="Q77" i="84"/>
  <c r="R77" i="84" s="1"/>
  <c r="I77" i="84"/>
  <c r="L76" i="84"/>
  <c r="F76" i="84"/>
  <c r="I75" i="84"/>
  <c r="Q75" i="84" s="1"/>
  <c r="N74" i="84"/>
  <c r="N76" i="84" s="1"/>
  <c r="I74" i="84"/>
  <c r="Q74" i="84" s="1"/>
  <c r="R74" i="84" s="1"/>
  <c r="N73" i="84"/>
  <c r="I73" i="84"/>
  <c r="L72" i="84"/>
  <c r="F72" i="84"/>
  <c r="I71" i="84"/>
  <c r="Q71" i="84" s="1"/>
  <c r="N70" i="84"/>
  <c r="N72" i="84" s="1"/>
  <c r="I70" i="84"/>
  <c r="N69" i="84"/>
  <c r="I69" i="84"/>
  <c r="F68" i="84"/>
  <c r="R66" i="84"/>
  <c r="I66" i="84"/>
  <c r="N65" i="84"/>
  <c r="I65" i="84"/>
  <c r="L64" i="84"/>
  <c r="F64" i="84"/>
  <c r="E64" i="84"/>
  <c r="D64" i="84"/>
  <c r="I63" i="84"/>
  <c r="Q63" i="84" s="1"/>
  <c r="N62" i="84"/>
  <c r="N64" i="84" s="1"/>
  <c r="I62" i="84"/>
  <c r="N61" i="84"/>
  <c r="I61" i="84"/>
  <c r="Q61" i="84" s="1"/>
  <c r="R61" i="84" s="1"/>
  <c r="D60" i="84"/>
  <c r="F60" i="84"/>
  <c r="I58" i="84"/>
  <c r="Q58" i="84" s="1"/>
  <c r="R58" i="84" s="1"/>
  <c r="I57" i="84"/>
  <c r="Q57" i="84" s="1"/>
  <c r="R57" i="84" s="1"/>
  <c r="N56" i="84"/>
  <c r="L56" i="84"/>
  <c r="D56" i="84"/>
  <c r="I55" i="84"/>
  <c r="N54" i="84"/>
  <c r="I54" i="84"/>
  <c r="Q54" i="84" s="1"/>
  <c r="R54" i="84" s="1"/>
  <c r="N53" i="84"/>
  <c r="I53" i="84"/>
  <c r="I52" i="84"/>
  <c r="R50" i="84"/>
  <c r="I50" i="84"/>
  <c r="Q50" i="84" s="1"/>
  <c r="I49" i="84"/>
  <c r="Q49" i="84" s="1"/>
  <c r="R49" i="84" s="1"/>
  <c r="F48" i="84"/>
  <c r="D48" i="84"/>
  <c r="I46" i="84"/>
  <c r="Q46" i="84" s="1"/>
  <c r="R46" i="84" s="1"/>
  <c r="N45" i="84"/>
  <c r="I45" i="84"/>
  <c r="L44" i="84"/>
  <c r="F44" i="84"/>
  <c r="E44" i="84"/>
  <c r="N42" i="84"/>
  <c r="N44" i="84" s="1"/>
  <c r="I42" i="84"/>
  <c r="Q42" i="84" s="1"/>
  <c r="R42" i="84" s="1"/>
  <c r="N41" i="84"/>
  <c r="I41" i="84"/>
  <c r="L40" i="84"/>
  <c r="F40" i="84"/>
  <c r="D40" i="84"/>
  <c r="N38" i="84"/>
  <c r="N40" i="84" s="1"/>
  <c r="I38" i="84"/>
  <c r="N37" i="84"/>
  <c r="I37" i="84"/>
  <c r="Q37" i="84" s="1"/>
  <c r="R37" i="84" s="1"/>
  <c r="F36" i="84"/>
  <c r="D36" i="84"/>
  <c r="I34" i="84"/>
  <c r="Q34" i="84" s="1"/>
  <c r="R34" i="84" s="1"/>
  <c r="I33" i="84"/>
  <c r="Q33" i="84" s="1"/>
  <c r="R33" i="84" s="1"/>
  <c r="F32" i="84"/>
  <c r="I30" i="84"/>
  <c r="Q30" i="84" s="1"/>
  <c r="R30" i="84" s="1"/>
  <c r="N29" i="84"/>
  <c r="I29" i="84"/>
  <c r="R26" i="84"/>
  <c r="R25" i="84"/>
  <c r="L24" i="84"/>
  <c r="F24" i="84"/>
  <c r="E24" i="84"/>
  <c r="D24" i="84"/>
  <c r="I23" i="84"/>
  <c r="Q23" i="84" s="1"/>
  <c r="N22" i="84"/>
  <c r="N24" i="84" s="1"/>
  <c r="I22" i="84"/>
  <c r="I21" i="84"/>
  <c r="Q21" i="84" s="1"/>
  <c r="R21" i="84" s="1"/>
  <c r="R18" i="84"/>
  <c r="R17" i="84"/>
  <c r="L16" i="84"/>
  <c r="E16" i="84"/>
  <c r="D16" i="84"/>
  <c r="H15" i="84"/>
  <c r="H107" i="84" s="1"/>
  <c r="F16" i="84"/>
  <c r="N14" i="84"/>
  <c r="I14" i="84"/>
  <c r="N13" i="84"/>
  <c r="I13" i="84"/>
  <c r="D115" i="83"/>
  <c r="C113" i="83"/>
  <c r="B112" i="83"/>
  <c r="C109" i="83"/>
  <c r="C108" i="83"/>
  <c r="B108" i="83"/>
  <c r="C107" i="83"/>
  <c r="B107" i="83"/>
  <c r="C106" i="83"/>
  <c r="B106" i="83"/>
  <c r="C105" i="83"/>
  <c r="B104" i="83"/>
  <c r="C103" i="83"/>
  <c r="C99" i="83"/>
  <c r="C98" i="83"/>
  <c r="C95" i="83"/>
  <c r="C94" i="83"/>
  <c r="C90" i="83"/>
  <c r="D77" i="83"/>
  <c r="C75" i="83"/>
  <c r="B74" i="83"/>
  <c r="C71" i="83"/>
  <c r="C70" i="83"/>
  <c r="B70" i="83"/>
  <c r="C69" i="83"/>
  <c r="B69" i="83"/>
  <c r="C68" i="83"/>
  <c r="B68" i="83"/>
  <c r="C67" i="83"/>
  <c r="B66" i="83"/>
  <c r="C65" i="83"/>
  <c r="C61" i="83"/>
  <c r="C60" i="83"/>
  <c r="C57" i="83"/>
  <c r="C56" i="83"/>
  <c r="C52" i="83"/>
  <c r="C37" i="83"/>
  <c r="B36" i="83"/>
  <c r="C34" i="83"/>
  <c r="C32" i="83"/>
  <c r="B32" i="83"/>
  <c r="C31" i="83"/>
  <c r="B31" i="83"/>
  <c r="C30" i="83"/>
  <c r="B30" i="83"/>
  <c r="C29" i="83"/>
  <c r="C27" i="83"/>
  <c r="C23" i="83"/>
  <c r="C22" i="83"/>
  <c r="C19" i="83"/>
  <c r="C18" i="83"/>
  <c r="P15" i="82"/>
  <c r="O15" i="82"/>
  <c r="M15" i="82"/>
  <c r="L15" i="82"/>
  <c r="K15" i="82"/>
  <c r="J15" i="82"/>
  <c r="H15" i="82"/>
  <c r="G15" i="82"/>
  <c r="F15" i="82"/>
  <c r="E15" i="82"/>
  <c r="D15" i="82"/>
  <c r="N14" i="82"/>
  <c r="I14" i="82"/>
  <c r="Q14" i="82" s="1"/>
  <c r="N13" i="82"/>
  <c r="I13" i="82"/>
  <c r="N12" i="82"/>
  <c r="I12" i="82"/>
  <c r="Q12" i="82" s="1"/>
  <c r="N11" i="82"/>
  <c r="I11" i="82"/>
  <c r="N10" i="82"/>
  <c r="I10" i="82"/>
  <c r="Q10" i="82" s="1"/>
  <c r="N9" i="82"/>
  <c r="I9" i="82"/>
  <c r="N8" i="82"/>
  <c r="I8" i="82"/>
  <c r="N7" i="82"/>
  <c r="I7" i="82"/>
  <c r="N6" i="82"/>
  <c r="I6" i="82"/>
  <c r="N5" i="82"/>
  <c r="I5" i="82"/>
  <c r="D21" i="81"/>
  <c r="C21" i="81"/>
  <c r="C22" i="81" s="1"/>
  <c r="D20" i="81"/>
  <c r="D19" i="81"/>
  <c r="D16" i="81"/>
  <c r="C16" i="81"/>
  <c r="E10" i="81"/>
  <c r="D10" i="81"/>
  <c r="C10" i="81"/>
  <c r="C115" i="83" l="1"/>
  <c r="Q41" i="84"/>
  <c r="R41" i="84" s="1"/>
  <c r="Q62" i="84"/>
  <c r="R62" i="84" s="1"/>
  <c r="Q65" i="84"/>
  <c r="R65" i="84" s="1"/>
  <c r="D22" i="81"/>
  <c r="Q11" i="82"/>
  <c r="Q38" i="84"/>
  <c r="R38" i="84" s="1"/>
  <c r="Q82" i="84"/>
  <c r="R82" i="84" s="1"/>
  <c r="N106" i="84"/>
  <c r="B115" i="83"/>
  <c r="I15" i="84"/>
  <c r="Q15" i="84" s="1"/>
  <c r="I96" i="84"/>
  <c r="Q95" i="84"/>
  <c r="Q5" i="82"/>
  <c r="Q13" i="82"/>
  <c r="B39" i="83"/>
  <c r="Q22" i="84"/>
  <c r="Q70" i="84"/>
  <c r="R70" i="84" s="1"/>
  <c r="I80" i="84"/>
  <c r="Q79" i="84"/>
  <c r="I92" i="84"/>
  <c r="Q91" i="84"/>
  <c r="I56" i="84"/>
  <c r="Q55" i="84"/>
  <c r="I44" i="84"/>
  <c r="Q43" i="84"/>
  <c r="Q8" i="82"/>
  <c r="Q6" i="82"/>
  <c r="E22" i="81"/>
  <c r="N15" i="82"/>
  <c r="Q7" i="82"/>
  <c r="Q9" i="82"/>
  <c r="C39" i="83"/>
  <c r="I106" i="84"/>
  <c r="H16" i="84"/>
  <c r="H108" i="84" s="1"/>
  <c r="L108" i="84"/>
  <c r="Q29" i="84"/>
  <c r="R29" i="84" s="1"/>
  <c r="D107" i="84"/>
  <c r="Q45" i="84"/>
  <c r="R45" i="84" s="1"/>
  <c r="F52" i="84"/>
  <c r="F56" i="84"/>
  <c r="Q69" i="84"/>
  <c r="R69" i="84" s="1"/>
  <c r="I72" i="84"/>
  <c r="Q73" i="84"/>
  <c r="R73" i="84" s="1"/>
  <c r="I76" i="84"/>
  <c r="F80" i="84"/>
  <c r="Q89" i="84"/>
  <c r="R89" i="84" s="1"/>
  <c r="D92" i="84"/>
  <c r="I105" i="84"/>
  <c r="Q53" i="84"/>
  <c r="R53" i="84" s="1"/>
  <c r="I100" i="84"/>
  <c r="C77" i="83"/>
  <c r="B77" i="83"/>
  <c r="N105" i="84"/>
  <c r="I24" i="84"/>
  <c r="D44" i="84"/>
  <c r="I64" i="84"/>
  <c r="R22" i="84"/>
  <c r="Q24" i="84"/>
  <c r="I16" i="84"/>
  <c r="I35" i="84"/>
  <c r="Q13" i="84"/>
  <c r="I83" i="84"/>
  <c r="Q83" i="84" s="1"/>
  <c r="Q14" i="84"/>
  <c r="N16" i="84"/>
  <c r="N108" i="84" s="1"/>
  <c r="I40" i="84"/>
  <c r="I31" i="84"/>
  <c r="I67" i="84"/>
  <c r="F107" i="84"/>
  <c r="I59" i="84"/>
  <c r="F96" i="84"/>
  <c r="E107" i="84"/>
  <c r="D32" i="84"/>
  <c r="E100" i="84"/>
  <c r="E108" i="84" s="1"/>
  <c r="I48" i="84"/>
  <c r="I15" i="82"/>
  <c r="H24" i="79"/>
  <c r="G24" i="79"/>
  <c r="H18" i="79"/>
  <c r="G18" i="79"/>
  <c r="H11" i="79"/>
  <c r="G11" i="79"/>
  <c r="H7" i="79"/>
  <c r="I32" i="84" l="1"/>
  <c r="Q31" i="84"/>
  <c r="Q15" i="82"/>
  <c r="I84" i="84"/>
  <c r="I68" i="84"/>
  <c r="I60" i="84"/>
  <c r="I108" i="84" s="1"/>
  <c r="Q59" i="84"/>
  <c r="D108" i="84"/>
  <c r="I36" i="84"/>
  <c r="Q35" i="84"/>
  <c r="Q110" i="84" s="1"/>
  <c r="F108" i="84"/>
  <c r="Q106" i="84"/>
  <c r="R106" i="84" s="1"/>
  <c r="Q16" i="84"/>
  <c r="Q108" i="84" s="1"/>
  <c r="Q105" i="84"/>
  <c r="R105" i="84" s="1"/>
  <c r="I107" i="84"/>
  <c r="Q107" i="84" s="1"/>
  <c r="G27" i="79"/>
  <c r="H27" i="79"/>
  <c r="D260" i="70"/>
  <c r="D243" i="70"/>
  <c r="D211" i="70"/>
  <c r="D204" i="70"/>
  <c r="D194" i="70"/>
  <c r="D187" i="70"/>
  <c r="D148" i="70"/>
  <c r="D162" i="70"/>
  <c r="D131" i="70"/>
  <c r="D145" i="70"/>
  <c r="D106" i="70"/>
  <c r="D226" i="70"/>
  <c r="D240" i="70"/>
  <c r="D177" i="70"/>
  <c r="D170" i="70"/>
  <c r="D114" i="70"/>
  <c r="D128" i="70" s="1"/>
  <c r="D72" i="70"/>
  <c r="D218" i="70" l="1"/>
  <c r="D201" i="70"/>
  <c r="D18" i="70"/>
  <c r="D184" i="70"/>
  <c r="D257" i="70"/>
  <c r="R14" i="84"/>
  <c r="R13" i="84"/>
  <c r="D89" i="70"/>
  <c r="D35" i="70"/>
  <c r="D274" i="70"/>
  <c r="D52" i="70"/>
  <c r="C272" i="70"/>
  <c r="B272" i="70"/>
  <c r="C267" i="70"/>
  <c r="B267" i="70"/>
  <c r="C260" i="70"/>
  <c r="B260" i="70"/>
  <c r="C255" i="70"/>
  <c r="B255" i="70"/>
  <c r="C250" i="70"/>
  <c r="B250" i="70"/>
  <c r="C243" i="70"/>
  <c r="B243" i="70"/>
  <c r="C238" i="70"/>
  <c r="B238" i="70"/>
  <c r="C233" i="70"/>
  <c r="B233" i="70"/>
  <c r="C226" i="70"/>
  <c r="B226" i="70"/>
  <c r="C216" i="70"/>
  <c r="B216" i="70"/>
  <c r="C211" i="70"/>
  <c r="B211" i="70"/>
  <c r="C204" i="70"/>
  <c r="B204" i="70"/>
  <c r="C199" i="70"/>
  <c r="B199" i="70"/>
  <c r="C194" i="70"/>
  <c r="B194" i="70"/>
  <c r="C187" i="70"/>
  <c r="B187" i="70"/>
  <c r="C182" i="70"/>
  <c r="B182" i="70"/>
  <c r="C177" i="70"/>
  <c r="B177" i="70"/>
  <c r="C170" i="70"/>
  <c r="B170" i="70"/>
  <c r="C160" i="70"/>
  <c r="B160" i="70"/>
  <c r="C155" i="70"/>
  <c r="B155" i="70"/>
  <c r="C148" i="70"/>
  <c r="B148" i="70"/>
  <c r="C143" i="70"/>
  <c r="B143" i="70"/>
  <c r="C138" i="70"/>
  <c r="B138" i="70"/>
  <c r="C131" i="70"/>
  <c r="B131" i="70"/>
  <c r="C126" i="70"/>
  <c r="B126" i="70"/>
  <c r="C121" i="70"/>
  <c r="B121" i="70"/>
  <c r="C114" i="70"/>
  <c r="B114" i="70"/>
  <c r="C99" i="70"/>
  <c r="C104" i="70"/>
  <c r="B104" i="70"/>
  <c r="B99" i="70"/>
  <c r="C92" i="70"/>
  <c r="B92" i="70"/>
  <c r="C87" i="70"/>
  <c r="B87" i="70"/>
  <c r="C82" i="70"/>
  <c r="B82" i="70"/>
  <c r="C75" i="70"/>
  <c r="B75" i="70"/>
  <c r="C70" i="70"/>
  <c r="B70" i="70"/>
  <c r="C65" i="70"/>
  <c r="B65" i="70"/>
  <c r="C58" i="70"/>
  <c r="B58" i="70"/>
  <c r="C184" i="70" l="1"/>
  <c r="B274" i="70"/>
  <c r="B218" i="70"/>
  <c r="B128" i="70"/>
  <c r="B184" i="70"/>
  <c r="B257" i="70"/>
  <c r="C257" i="70"/>
  <c r="C218" i="70"/>
  <c r="C162" i="70"/>
  <c r="C106" i="70"/>
  <c r="C89" i="70"/>
  <c r="C274" i="70"/>
  <c r="C240" i="70"/>
  <c r="B240" i="70"/>
  <c r="B201" i="70"/>
  <c r="C201" i="70"/>
  <c r="B162" i="70"/>
  <c r="C145" i="70"/>
  <c r="B145" i="70"/>
  <c r="C128" i="70"/>
  <c r="B72" i="70"/>
  <c r="B106" i="70"/>
  <c r="B89" i="70"/>
  <c r="C72" i="70"/>
  <c r="C50" i="70"/>
  <c r="B50" i="70"/>
  <c r="C45" i="70"/>
  <c r="B45" i="70"/>
  <c r="C38" i="70"/>
  <c r="B38" i="70"/>
  <c r="C33" i="70"/>
  <c r="B33" i="70"/>
  <c r="C28" i="70"/>
  <c r="B28" i="70"/>
  <c r="C21" i="70"/>
  <c r="B21" i="70"/>
  <c r="B35" i="70" l="1"/>
  <c r="C35" i="70"/>
  <c r="B52" i="70"/>
  <c r="C52" i="70"/>
  <c r="C16" i="70"/>
  <c r="B16" i="70"/>
  <c r="C11" i="70"/>
  <c r="B11" i="70"/>
  <c r="C4" i="70"/>
  <c r="B4" i="70"/>
  <c r="B18" i="70" l="1"/>
  <c r="C18" i="70"/>
</calcChain>
</file>

<file path=xl/sharedStrings.xml><?xml version="1.0" encoding="utf-8"?>
<sst xmlns="http://schemas.openxmlformats.org/spreadsheetml/2006/main" count="1688" uniqueCount="959">
  <si>
    <t>TOTAL</t>
  </si>
  <si>
    <t>RECURSOS PUBLICOS</t>
  </si>
  <si>
    <t>MONTO</t>
  </si>
  <si>
    <t>F-8</t>
  </si>
  <si>
    <t>PROFESIONALES</t>
  </si>
  <si>
    <t>TECNICOS</t>
  </si>
  <si>
    <t>AUXILIARES</t>
  </si>
  <si>
    <t>DIRECTIVOS/FUNCIONARIOS</t>
  </si>
  <si>
    <t>FUENTE DE FINANCIAMIENTO</t>
  </si>
  <si>
    <t xml:space="preserve"> REMUNERATIVA</t>
  </si>
  <si>
    <t>CATEGORIA</t>
  </si>
  <si>
    <t>PEA</t>
  </si>
  <si>
    <t>F-1</t>
  </si>
  <si>
    <t>SPA</t>
  </si>
  <si>
    <t>SPE</t>
  </si>
  <si>
    <t>STA</t>
  </si>
  <si>
    <t>SAA</t>
  </si>
  <si>
    <t>SAE</t>
  </si>
  <si>
    <t>S/.</t>
  </si>
  <si>
    <t>Est. %</t>
  </si>
  <si>
    <t>EST. %</t>
  </si>
  <si>
    <t>GASTOS CORRIENTES */</t>
  </si>
  <si>
    <t>TOTAL (A)</t>
  </si>
  <si>
    <t>..</t>
  </si>
  <si>
    <t>OTROS</t>
  </si>
  <si>
    <t>COSTO ANUAL</t>
  </si>
  <si>
    <t>OBLIGACIONES DEL EMPLEADOR (CARGAS SOCIALES)</t>
  </si>
  <si>
    <t>GASTOS VARIABLES Y OCASIONALES</t>
  </si>
  <si>
    <t>COMBUSTIBLE Y LUBRICANTES</t>
  </si>
  <si>
    <t>SERVICIOS NO PERSONALES</t>
  </si>
  <si>
    <t>PROPINAS</t>
  </si>
  <si>
    <t>BIENES DISTRIBUCION GRATUITA</t>
  </si>
  <si>
    <t>PASAJES Y GASTOS DE TRANSPORTE</t>
  </si>
  <si>
    <t>CONTRATACION CON EMPRESAS DE SERVICIOS</t>
  </si>
  <si>
    <t>TRANSFERENCIAS CAFAE</t>
  </si>
  <si>
    <t>RUBROS</t>
  </si>
  <si>
    <t>OTROS SERVICIOS DE TERCEROS</t>
  </si>
  <si>
    <t>BIENES DE CONSUMO</t>
  </si>
  <si>
    <t>ALIMENTOS DE PERSONAS</t>
  </si>
  <si>
    <t>TARIFAS DE SERVICIOS GENERALES</t>
  </si>
  <si>
    <t>OTROS (DETALLAR)</t>
  </si>
  <si>
    <t>SEGUROS</t>
  </si>
  <si>
    <t>VIATICOS Y ASIGNACIONES</t>
  </si>
  <si>
    <t>NUEVOS SOLES</t>
  </si>
  <si>
    <t xml:space="preserve">SERVICIO DE CONSULTORIA </t>
  </si>
  <si>
    <t>CONSULTORIAS</t>
  </si>
  <si>
    <t xml:space="preserve">TOTAL </t>
  </si>
  <si>
    <t>1. RECURSOS ORDINARIOS</t>
  </si>
  <si>
    <t>2. RECURSOS DIRECTAM. RECAUD.</t>
  </si>
  <si>
    <t>3.- RECURSOS OPERACIONES</t>
  </si>
  <si>
    <t>4. DONACIONES Y TRANSFERENCIAS</t>
  </si>
  <si>
    <t>5. RECURSOS DETERMINADOS</t>
  </si>
  <si>
    <t xml:space="preserve">    - CONTRIBUCIONES A FONDOS</t>
  </si>
  <si>
    <t xml:space="preserve">    - FONDO DE COMPENCIÓN MUNICIPAL</t>
  </si>
  <si>
    <t xml:space="preserve">    - IMPUESTOS MUNICIPALES</t>
  </si>
  <si>
    <t xml:space="preserve">    - CANON  Y  SOBRECANON, REGALIAS</t>
  </si>
  <si>
    <t xml:space="preserve">       Y PARTICIPACIONES</t>
  </si>
  <si>
    <t>TOTAL    (*)</t>
  </si>
  <si>
    <t>OTROS (ESPECIFICAR) (**)</t>
  </si>
  <si>
    <t>(PIA) = Presupuesto Institucional de Apertura</t>
  </si>
  <si>
    <t>TIPO DE ESTUDIO Y/O INFORME (*)</t>
  </si>
  <si>
    <t>NIVELES REMUNERATIVOS</t>
  </si>
  <si>
    <t>(1)</t>
  </si>
  <si>
    <t>(2)</t>
  </si>
  <si>
    <t>(3)</t>
  </si>
  <si>
    <t>(4)</t>
  </si>
  <si>
    <t>(5)</t>
  </si>
  <si>
    <t>(6)</t>
  </si>
  <si>
    <t>CARRERA ADMINISTRATIVA</t>
  </si>
  <si>
    <t>……</t>
  </si>
  <si>
    <t>ASISTENCIALES NO PROFESIONALES DE LA SALUD</t>
  </si>
  <si>
    <t>LEY DEL PROFESORADO</t>
  </si>
  <si>
    <t>CARRERA MEDICA Y PROFESIONALES  DE LA SALUD</t>
  </si>
  <si>
    <t>CARRERA JUDICIAL</t>
  </si>
  <si>
    <t>LEY UNIVERSITARIA</t>
  </si>
  <si>
    <t>LEY DEL SERVICIO DIPLOMATICO</t>
  </si>
  <si>
    <t>PERSONAL MILITAR Y POLICIAL</t>
  </si>
  <si>
    <t xml:space="preserve">OBREROS </t>
  </si>
  <si>
    <t>SERUMISTAS</t>
  </si>
  <si>
    <t xml:space="preserve">     ANIMADORES</t>
  </si>
  <si>
    <t xml:space="preserve">     ………….</t>
  </si>
  <si>
    <t xml:space="preserve">    INTERNOS DE MEDICINA HUMANA Y ODONTOLOGIA</t>
  </si>
  <si>
    <t xml:space="preserve">    SERVICIOS NO PERSONAL </t>
  </si>
  <si>
    <t xml:space="preserve">    PROYECTOS DE INVERSION</t>
  </si>
  <si>
    <t>NOTAS</t>
  </si>
  <si>
    <t xml:space="preserve">(1) PEA: </t>
  </si>
  <si>
    <t xml:space="preserve">(2) REMUNERACION: </t>
  </si>
  <si>
    <t xml:space="preserve">SE CONSIGNARA LA REMUNERACION MENSUAL PROMEDIO DE UN SERVIDOR EN CADA NIVEL DE LA CARRERA PUBLICA SEGUN CORRESPONDA </t>
  </si>
  <si>
    <t xml:space="preserve">(3) CAFAE: </t>
  </si>
  <si>
    <t xml:space="preserve">SE CONSIGNARA EL  INCENTIVO LABORAL  MENSUAL PROMEDIO QUE POR DISPOSICION EXPRESA SE LE OTORGUE A UN SERVIDOR EN CADA NIVEL SEGUN CORRESPONDA </t>
  </si>
  <si>
    <t xml:space="preserve">(4) AETA: </t>
  </si>
  <si>
    <t xml:space="preserve">SOLO APLICABLE AL SECTOR SALUD. SE CONSIGNARA LA ASIGNACION EXTRAORDINARIA POR TRABAJO ASISTENCIAL  MENSUAL PROMEDIO DE UN SERVIDOR EN CADA NIVEL </t>
  </si>
  <si>
    <t xml:space="preserve">SEGUN CORRESPONDA </t>
  </si>
  <si>
    <t xml:space="preserve">(5) OTROS BENEFICIOS - ASIGNACION MENSUAL </t>
  </si>
  <si>
    <t xml:space="preserve">RUBROS ANTERIORES . EN HOJA INDEPENDIENTES SE DETALLARA CADA CONCEPTO Y MONTO, ASI COMO LA DISPOSICION EXPRESA QUE LOS AUTORICE Y LA PERIODICIDAD CON QUE </t>
  </si>
  <si>
    <t xml:space="preserve">SE OTORGA . DEBERA DETALLAR POR CADA CONCEPTO ASI COMO LA DISPOSICION EXPRESA QUE LOS AUTORICE Y LA PERIODICIDAD CON QUE SE OTORGA (MENSUAL, BIMENSUAL, </t>
  </si>
  <si>
    <t>TRIMESTRAL , CUATRIMENSUAL)</t>
  </si>
  <si>
    <t>(7)</t>
  </si>
  <si>
    <t>ADQUISICIONES/CONTRATACIONES/OBRAS</t>
  </si>
  <si>
    <t>FECHA PROG. CONV.</t>
  </si>
  <si>
    <t>TOTAL SECTOR</t>
  </si>
  <si>
    <t>PROYECTO</t>
  </si>
  <si>
    <t>CODIGO SNIP</t>
  </si>
  <si>
    <t>TIPO DE PROCESO DE SELECCIÓN</t>
  </si>
  <si>
    <t>ADQUISICIÓN</t>
  </si>
  <si>
    <t>OBSERVACIONES</t>
  </si>
  <si>
    <t>ESTADO DEL PROCESO</t>
  </si>
  <si>
    <t>PART. %</t>
  </si>
  <si>
    <t xml:space="preserve">       OFICIALES DE CREDITO</t>
  </si>
  <si>
    <t>SERVICIO DE DEUDA</t>
  </si>
  <si>
    <t>(**) PNUD, BONOS, etc.</t>
  </si>
  <si>
    <t>FAG</t>
  </si>
  <si>
    <t>TIPO DE CONTRATO</t>
  </si>
  <si>
    <t>PNUD</t>
  </si>
  <si>
    <t>CAS</t>
  </si>
  <si>
    <t>SNP</t>
  </si>
  <si>
    <t>…</t>
  </si>
  <si>
    <t>PLIEGO</t>
  </si>
  <si>
    <t>UNIDAD EJECUTORA</t>
  </si>
  <si>
    <t xml:space="preserve">OTROS </t>
  </si>
  <si>
    <t>FUNCIÓN DESEMPEÑADA</t>
  </si>
  <si>
    <t>SUB TOTAL GASTOS CORRIENTES</t>
  </si>
  <si>
    <t>SUB TOTAL GASTOS DE CAPITAL</t>
  </si>
  <si>
    <t>SUB TOTAL SERVICIO DE DEUDA</t>
  </si>
  <si>
    <t>GASTOS DE CAPITAL</t>
  </si>
  <si>
    <t>1: Reserva de Contingencia</t>
  </si>
  <si>
    <t>2: Personal y Obligaciones Sociales</t>
  </si>
  <si>
    <t>3: Pensiones y Prestaciones Sociales</t>
  </si>
  <si>
    <t>4: Bienes y Servicios</t>
  </si>
  <si>
    <t>5: Donaciones y Transferencias</t>
  </si>
  <si>
    <t>6: Otros Gastos</t>
  </si>
  <si>
    <t>7: Donaciones y Transferencias</t>
  </si>
  <si>
    <t>8: Otros Gastos</t>
  </si>
  <si>
    <t>9: Adquisiciones de Activos No Financieros</t>
  </si>
  <si>
    <t>10: Adquisiciones de Activos Financieros</t>
  </si>
  <si>
    <t>11: Servicio de la Deuda</t>
  </si>
  <si>
    <t>GASTOS CORRIENTES</t>
  </si>
  <si>
    <t>TRIMESTRAL , CUATRIMENSUAL  O SIN PERIODICIDAD)</t>
  </si>
  <si>
    <t>(8)</t>
  </si>
  <si>
    <t>SUB TOTAL OTROS BENEFICIOS ... (no, mensuales, monto anual)</t>
  </si>
  <si>
    <t>ESPECIALIDAD (**)</t>
  </si>
  <si>
    <t xml:space="preserve">CONTRAPRESTACIÓN MENSUAL </t>
  </si>
  <si>
    <t>FUNCIONES</t>
  </si>
  <si>
    <t>PPTO (PIA)</t>
  </si>
  <si>
    <t>1 Legislativa</t>
  </si>
  <si>
    <t>2 Relaciones Exteriores</t>
  </si>
  <si>
    <t>3 Planeam. Gestión y Reserva</t>
  </si>
  <si>
    <t>Decreto Legislativo 728 (Regimen Privado)</t>
  </si>
  <si>
    <t>DNI</t>
  </si>
  <si>
    <t>Apellidos y Nombres</t>
  </si>
  <si>
    <t>Numero de contratos o renovaciones</t>
  </si>
  <si>
    <t>Meses Ejecutados</t>
  </si>
  <si>
    <t>Monto Ejecutado</t>
  </si>
  <si>
    <t>Titulo Profesióonal, Técncio o Capacitación Ocupacional</t>
  </si>
  <si>
    <t>7: Donaciones y Transferencias (de capital)</t>
  </si>
  <si>
    <t>5: Donaciones y Transferencias (corrientes)</t>
  </si>
  <si>
    <t>6: Otros Gastos (corrientes)</t>
  </si>
  <si>
    <t>8: Otros Gastos (de capital)</t>
  </si>
  <si>
    <t>TOTAL GASTOS UNIDAD EJECUTORA / ENTIDAD PÚBLICA</t>
  </si>
  <si>
    <t>CONTRATANTE</t>
  </si>
  <si>
    <t>CONTRATADO</t>
  </si>
  <si>
    <t>COSTO TOTAL EN PLANILLAS (*)</t>
  </si>
  <si>
    <t>Profesión</t>
  </si>
  <si>
    <t>Grado Academico</t>
  </si>
  <si>
    <t>PEA / Beneficiarios</t>
  </si>
  <si>
    <t>REMUNERACION MENSUAL (cada persona)</t>
  </si>
  <si>
    <t>CAFAE MENSUL (cada persona)</t>
  </si>
  <si>
    <t>AETA MENSUAL (cada persona)</t>
  </si>
  <si>
    <t>OTROS INGRESOS MENSUAL (cada persona)</t>
  </si>
  <si>
    <t>SUB TOTAL INGRESOS MENSUALES (cada persona)</t>
  </si>
  <si>
    <t>AGUINALDOS, GRAFICACIONES Y ESCOLARIDAD (anual cada persona)</t>
  </si>
  <si>
    <r>
      <rPr>
        <b/>
        <sz val="9"/>
        <rFont val="Arial"/>
        <family val="2"/>
      </rPr>
      <t xml:space="preserve">LAS COLUMNAS COMO SEAN NECESARIAS, </t>
    </r>
    <r>
      <rPr>
        <sz val="9"/>
        <rFont val="Arial"/>
        <family val="2"/>
      </rPr>
      <t xml:space="preserve">SE CONSIGNARA LOS OTROS BENEFICIOS - ASIGNACIONES MENSUALES PERIODICOS  DE UN SERVIDOR EN CADA NIVEL SEGÚN CORRESPONDA NO CONSIGNADO EN LOS </t>
    </r>
  </si>
  <si>
    <r>
      <rPr>
        <b/>
        <sz val="9"/>
        <rFont val="Arial"/>
        <family val="2"/>
      </rPr>
      <t xml:space="preserve">LAS COLUMNAS COMO SEAN NECESARIAS, </t>
    </r>
    <r>
      <rPr>
        <sz val="9"/>
        <rFont val="Arial"/>
        <family val="2"/>
      </rPr>
      <t xml:space="preserve">SE CONSIGNARA LOS OTROS BENEFICIOS - ASIGNACIONES PERIODICOS O NO PERIODICAS DE UN SERVIDOR EN CADA NIVEL SEGÚN CORRESPONDA NO CONSIGNADO EN LOS </t>
    </r>
  </si>
  <si>
    <t>(9)</t>
  </si>
  <si>
    <t>TOTAL INGRESO ANUAL PEA</t>
  </si>
  <si>
    <t>TOTAL INGRESOS ANUAL POR PERSONA</t>
  </si>
  <si>
    <t>MONTO ANUAL</t>
  </si>
  <si>
    <t>(10)</t>
  </si>
  <si>
    <t>DIFERENCIA INGRESO ANUAL PEA</t>
  </si>
  <si>
    <t xml:space="preserve">DIFERENCIA INGRESO ANUAL POR PERSONAL </t>
  </si>
  <si>
    <t>SE CONSIGNARA EL NUMERO TOTAL DE PERSONAL ACTIVO ( NOMBRADO Y CONTRATADO) SEGÚN EL PRESUPUESTO ANILITOCO DE PERSONAL (PAP) APROBADO</t>
  </si>
  <si>
    <t>(**) Recursos Públicos / Recursos Ordinarios / Recursos Directamente Recaudados / Donaciones  y  Transferencias / Operaciones Oficiales de Crédito/ Recursos Determinados</t>
  </si>
  <si>
    <t>SECTOR O GOB. REGIONAL:</t>
  </si>
  <si>
    <t>FECHA DE SUSCRIPCION DEL CONTRATO</t>
  </si>
  <si>
    <t>FECHA DE VENCIMIENTO DEL PLAZO</t>
  </si>
  <si>
    <t>PLAZO DE EJEUCION DE OBRAS</t>
  </si>
  <si>
    <t>AMPLIACION DE PLAZO</t>
  </si>
  <si>
    <t>FECHA DE VENCIMIENTO DE PLAZO</t>
  </si>
  <si>
    <t>FECHA DE ENTREGA</t>
  </si>
  <si>
    <t>FECHA DE CONFORMIDAD DE OBRA</t>
  </si>
  <si>
    <t>VESTUARIO</t>
  </si>
  <si>
    <t>BONOS POR FUNCION JURIDICCIONAL Y FISCAL</t>
  </si>
  <si>
    <t>ESCOLARIDAD, AGUINALDO Y GRATIFICACIONES</t>
  </si>
  <si>
    <t>BONIFICACIÓN EXTRAORDINARIA (INACEPTACIÓN DE GRATIFICACIONES)</t>
  </si>
  <si>
    <t>DIETAS</t>
  </si>
  <si>
    <t>RETRIBUCIONES EN BIENES</t>
  </si>
  <si>
    <t>MOVILIDAD PARA TRASLADO DE TRABAJADORES</t>
  </si>
  <si>
    <t>PRODUCTIVIDAD</t>
  </si>
  <si>
    <t>SEGUROS (ESPECIFICAR)</t>
  </si>
  <si>
    <t>GASTOS POR ESTACIONAMIENTO DE VEHICULOS</t>
  </si>
  <si>
    <t>DIETA DE DIRECTORIO</t>
  </si>
  <si>
    <t>OTROS INGRESOS NO MENSUALES 
(anual cada personal)</t>
  </si>
  <si>
    <t>INCENTIVOS O PRODUCTIVIDAD (cada persona)</t>
  </si>
  <si>
    <t>MOVILIDAD</t>
  </si>
  <si>
    <t>RACIONAMIENTO</t>
  </si>
  <si>
    <t>BONOS</t>
  </si>
  <si>
    <t>(10) SUB TOTAL</t>
  </si>
  <si>
    <t>SUMATORIA DE LAS COLUMNAS (2), (3), (4), (5), (6), (7), (8), (9)</t>
  </si>
  <si>
    <t>(11) AGUINALDOS, GRAFICACIONES Y ESCOLARIDAD</t>
  </si>
  <si>
    <t>(12) OTROS BENEFICIOS - ASIGNACION ANUAL</t>
  </si>
  <si>
    <t>(11)</t>
  </si>
  <si>
    <t>(12)</t>
  </si>
  <si>
    <t xml:space="preserve">MULTIMPLACIÓN DE LA COLUMNA (10) POR 12 (MESES) Y AL RESULTADO SE SUMA LA COLUMNA (13) </t>
  </si>
  <si>
    <t>(13)</t>
  </si>
  <si>
    <t>(14)</t>
  </si>
  <si>
    <t>(15)</t>
  </si>
  <si>
    <t>(14) TOTAL INGRESOS ANUAL POR PERSONA</t>
  </si>
  <si>
    <t>(15) TOTAL ANUAL PEA</t>
  </si>
  <si>
    <t>(13) SUB TOTAL OTROS BENEFICIOS</t>
  </si>
  <si>
    <t>SUMATORIA DE LAS COLUMNAS (11) Y (12)</t>
  </si>
  <si>
    <t>MULTIPLICACIÓN DEL A COMUNTA (1) POR LA COLUMNA (14)</t>
  </si>
  <si>
    <t>CONTRATISTA (RUC y Denominacion)</t>
  </si>
  <si>
    <t>MODALIDAD</t>
  </si>
  <si>
    <t>NUMERO DEL PROCESO</t>
  </si>
  <si>
    <t>PROGRAMAS SOCIALES</t>
  </si>
  <si>
    <t>JUNTOS</t>
  </si>
  <si>
    <t>SAMU</t>
  </si>
  <si>
    <t>SMN</t>
  </si>
  <si>
    <t>Mortalidad Materna</t>
  </si>
  <si>
    <t>Mortalidad Neonatal</t>
  </si>
  <si>
    <t>II.  GESTACIÓN</t>
  </si>
  <si>
    <t>PAN</t>
  </si>
  <si>
    <t>CUNA MAS</t>
  </si>
  <si>
    <t>Desnutrición Cronica</t>
  </si>
  <si>
    <t>Mortalidad Infantil</t>
  </si>
  <si>
    <t>Desarrollo cognitivo, lenguaje, socioemocional y motor</t>
  </si>
  <si>
    <t>PELA</t>
  </si>
  <si>
    <t>Logros de aprendizaje</t>
  </si>
  <si>
    <t>Cobertura escolar</t>
  </si>
  <si>
    <t>PELA Primaria</t>
  </si>
  <si>
    <t>PELA Secundaria</t>
  </si>
  <si>
    <t>Logros de aprindizaje</t>
  </si>
  <si>
    <t>Deserción escolar</t>
  </si>
  <si>
    <t>Jovenes a la obra</t>
  </si>
  <si>
    <t>Beca 18</t>
  </si>
  <si>
    <t>Acceso a la educación superior de calidad</t>
  </si>
  <si>
    <t>Educacion pertienente para el mercado laboral</t>
  </si>
  <si>
    <t>Pensión 65</t>
  </si>
  <si>
    <t>Asegurar las condiciones básicas para la subsistencia</t>
  </si>
  <si>
    <t>III.  De 0 a 2 AÑOS</t>
  </si>
  <si>
    <t>IV. DE 3 A 5 AÑOS</t>
  </si>
  <si>
    <t>V. DE 6 A 12 AÑOS</t>
  </si>
  <si>
    <t>VI. DE 13 A 17 AÑOS</t>
  </si>
  <si>
    <t>VII. DE 17 A 24 AÑOS</t>
  </si>
  <si>
    <t>VIII. DE 65 A MAS</t>
  </si>
  <si>
    <t>I.  DE GESTANTES A NIÑOS DE HASTA 14 AÑOS</t>
  </si>
  <si>
    <t>BENEFICIARIOS</t>
  </si>
  <si>
    <t>PRESUPUESTO PIA</t>
  </si>
  <si>
    <t>PRESUPUESTO PIM</t>
  </si>
  <si>
    <t>MONTO PRESUPUESTADO (*)</t>
  </si>
  <si>
    <t>0: Reserva de Contingencia</t>
  </si>
  <si>
    <t>1: Personal y Obligaciones Sociales</t>
  </si>
  <si>
    <t>2: Pensiones y Prestaciones Sociales</t>
  </si>
  <si>
    <t>3: Bienes y Servicios</t>
  </si>
  <si>
    <t>4: Donaciones y Transferencias</t>
  </si>
  <si>
    <t>5: Otros Gastos</t>
  </si>
  <si>
    <t>6: Adquisiciones de Activos No Financieros</t>
  </si>
  <si>
    <t>7: Adquisiciones de Activos Financieros</t>
  </si>
  <si>
    <t>8: Servicio de la Deuda</t>
  </si>
  <si>
    <t>4 Defensa y Seg. Nacional</t>
  </si>
  <si>
    <t>5 Orden Púb. y Seguridad</t>
  </si>
  <si>
    <t>6 Justicia</t>
  </si>
  <si>
    <t>7 Trabajo</t>
  </si>
  <si>
    <t>8 Comercio</t>
  </si>
  <si>
    <t>9 Turismo</t>
  </si>
  <si>
    <t>10 Agropecuaria</t>
  </si>
  <si>
    <t>11 Pesca</t>
  </si>
  <si>
    <t>12 Energía</t>
  </si>
  <si>
    <t>13 Mineria</t>
  </si>
  <si>
    <t>14 Industria</t>
  </si>
  <si>
    <t>15 Transporte</t>
  </si>
  <si>
    <t>16 Comunicaciones</t>
  </si>
  <si>
    <t>17 Ambiente</t>
  </si>
  <si>
    <t>19 Vivienda y Des. Urbano</t>
  </si>
  <si>
    <t>20 Salud</t>
  </si>
  <si>
    <t>21 Cultura y Deporte</t>
  </si>
  <si>
    <t>22 Educación</t>
  </si>
  <si>
    <t>23 Protección Social</t>
  </si>
  <si>
    <t>24 Previsión Social</t>
  </si>
  <si>
    <t>25 Deuda Pública</t>
  </si>
  <si>
    <t>VIAJES</t>
  </si>
  <si>
    <t>SUMINISTROS PARA MANTENIMIENTO Y REPARACION</t>
  </si>
  <si>
    <t>SERVICIOS BASICOS, COMUNICACIONES, PUBLICIDAD Y DIFUSION</t>
  </si>
  <si>
    <t>COMBUSTIBLE, CARBURANTES, LUBRICANTES Y AFINES</t>
  </si>
  <si>
    <t>SERVICIOS DE LIMPIEZA, SEGURIDAD Y VIGILANCIA</t>
  </si>
  <si>
    <t>SERVICIO DE MANTENIMIENTO, ACONDICIONAMIENTO Y REPARA</t>
  </si>
  <si>
    <t>ALQUILERES DE MUEBLES E INMUEBLES</t>
  </si>
  <si>
    <t>MATERIALES Y UTILES</t>
  </si>
  <si>
    <t>REPUESTOS Y ACCESORIOS</t>
  </si>
  <si>
    <t>SERVICIOS ADMINISTRATIVOS, FINANCIEROS Y DE SEGUROS</t>
  </si>
  <si>
    <t>ENSERES</t>
  </si>
  <si>
    <t>SERVICIOS PROFESIONALES Y TECNICOS</t>
  </si>
  <si>
    <t>CONTRATO ADMINISTRATIVO DE SERVICIOS</t>
  </si>
  <si>
    <t>SUMINISTROS MEDICOS</t>
  </si>
  <si>
    <t>MATERIALES Y UTILES DE ENSEÑANZA</t>
  </si>
  <si>
    <t>SUMINISTROS PARA USO AGROPECUARIO, FORESTAL Y VETERIN</t>
  </si>
  <si>
    <t>COMPRA DE OTROS BIENES</t>
  </si>
  <si>
    <t>CAFAE MENSUAL (cada persona)</t>
  </si>
  <si>
    <t>UNIDADES EJECUTORAS O ENTIDADES PÚBLICAS ADSCRITAS AL SECTOR</t>
  </si>
  <si>
    <t>RESERVA DE CONTINGENCIA</t>
  </si>
  <si>
    <t>PERSONAL Y OBLIGAC. SOC.</t>
  </si>
  <si>
    <t>PENSIONES Y PREST. SOC.</t>
  </si>
  <si>
    <t>BIENES Y SERVICIOS</t>
  </si>
  <si>
    <t>DONACIONES TRANSFER.</t>
  </si>
  <si>
    <t>OTROS GASTOS</t>
  </si>
  <si>
    <t>SUB TOTAL GASTO CTE</t>
  </si>
  <si>
    <t>DONACIONES Y TRANSFER,</t>
  </si>
  <si>
    <t>ADQUIS. ACT. NO FINANC.</t>
  </si>
  <si>
    <t>ADQUIS. ACT. FINANC.</t>
  </si>
  <si>
    <t>SUB TOTAL GASTOS CAP.</t>
  </si>
  <si>
    <t xml:space="preserve">SERVICIO DE DEUDA </t>
  </si>
  <si>
    <t>SUB TOTAL SER. DEUDA</t>
  </si>
  <si>
    <t>Ley 30057 
(Ley del Servicio Civil)</t>
  </si>
  <si>
    <t>PLIEGOS DEL SECTOR O GOBIERNO REGIONAL</t>
  </si>
  <si>
    <t>Decreto Legislativo 1057 (Contrato Administrativo de Servicios</t>
  </si>
  <si>
    <t>(**) Incluye el monto pagado por otras entidades al personal que presta servidos en el Sector o Gobierno Regional</t>
  </si>
  <si>
    <t>Decreto Legislativo 1024 (Gerentes Públicos) (**)</t>
  </si>
  <si>
    <t>Ley 25650 (Fondo de Apoyo Generencial) (**)</t>
  </si>
  <si>
    <t>Ley 29806 (Personal Altamente Calificado) (**)</t>
  </si>
  <si>
    <t xml:space="preserve">(***) Detallar el marco legal </t>
  </si>
  <si>
    <t>Otros Servidores (especificar) (**) (***)</t>
  </si>
  <si>
    <t>(*) Incluye GRATIFICACIONES, CAFAE, PNUD, BONOS, PRODUCTIVIDAD, HORAS EXTRAS, GUARDIAS, AETAS, etc.</t>
  </si>
  <si>
    <t xml:space="preserve">Total </t>
  </si>
  <si>
    <t>S/ (****)</t>
  </si>
  <si>
    <t>S/ Anual (****)</t>
  </si>
  <si>
    <t>Practicantes (***)</t>
  </si>
  <si>
    <t>(****) Proyectado</t>
  </si>
  <si>
    <t>ARRENDATARIO</t>
  </si>
  <si>
    <t>ARRENDADOR</t>
  </si>
  <si>
    <t>DNI O PARTIDA REGISTRAL</t>
  </si>
  <si>
    <t>Apellidos y Nombres o Denominación</t>
  </si>
  <si>
    <t>INMUEBLE</t>
  </si>
  <si>
    <t>CONTRATO</t>
  </si>
  <si>
    <t>VIGENCIA DEL CONTRATO</t>
  </si>
  <si>
    <t>MONTO MENSUAL</t>
  </si>
  <si>
    <t>BIEN PROPIO DE TERCEROS O AJENO</t>
  </si>
  <si>
    <t>PARTIDA REGISTRAL DE INCRIPCION DE PROPIEDAD</t>
  </si>
  <si>
    <t>METROS CUADRADOS</t>
  </si>
  <si>
    <t>COCHERAS</t>
  </si>
  <si>
    <t xml:space="preserve">FORMA DE PAGO (MENSUAL O ANUAL) Y FECHA DE PAGO </t>
  </si>
  <si>
    <t>PIA TOTAL S/</t>
  </si>
  <si>
    <t>PIM TOTAL S/</t>
  </si>
  <si>
    <t>EJECUCIÓN TOTAL S/</t>
  </si>
  <si>
    <t>EJECUCIÓN 
POR FUENTE DE FINANCIAMIENTO</t>
  </si>
  <si>
    <t>PIM 
POR FUENTE DE FINANCIAMIENTO</t>
  </si>
  <si>
    <t>PIA 
POR FUENTE DE FINANCIAMIENTO</t>
  </si>
  <si>
    <t>1: Acciones Centrales (AC)</t>
  </si>
  <si>
    <t>2: Asignaciones Presupuestarias que No Resultan en Productos (APNP)</t>
  </si>
  <si>
    <t>3: Programas Presupuestales</t>
  </si>
  <si>
    <t>PIA
POR CATEGORIA PRESUPUESTAL</t>
  </si>
  <si>
    <t>PIM
POR CATEGORIA PRESUPUESTAL</t>
  </si>
  <si>
    <t>EJECUCIÓN
POR CATEGORIA PRESUPUESTAL</t>
  </si>
  <si>
    <t>0001: Programa Articulado Nutricional</t>
  </si>
  <si>
    <t>0002: Salud Materno Neonatal</t>
  </si>
  <si>
    <t>0016: Tbc-Vih/Sida</t>
  </si>
  <si>
    <t>0017: Enfermedades Metaxenicas Y Zoonosis</t>
  </si>
  <si>
    <t>0018: Enfermedades No Transmisibles</t>
  </si>
  <si>
    <t>0024: Prevencion Y Control Del Cancer</t>
  </si>
  <si>
    <t>0147: Fortalecimiento De La Educacion Superior Tecnologica</t>
  </si>
  <si>
    <t>0148: Reduccion Del Tiempo, Inseguridad Y Costo Ambiental En El Transporte Urbano</t>
  </si>
  <si>
    <t>PIA
POR PROGRAMA PRESUPUESTAL</t>
  </si>
  <si>
    <t>PIM
POR PROGRAMA PRESUPUESTAL</t>
  </si>
  <si>
    <t>EJECUCIÓN
POR PROGRAMA PRESUPUESTAL</t>
  </si>
  <si>
    <t>SECTOR o GOB. REGIONAL:</t>
  </si>
  <si>
    <t>SECTOR  o GOB. REGIONAL: (EJEMPLO SECTOR SALUD)</t>
  </si>
  <si>
    <r>
      <t xml:space="preserve">PLIEGO: </t>
    </r>
    <r>
      <rPr>
        <sz val="10"/>
        <rFont val="Arial"/>
        <family val="2"/>
      </rPr>
      <t>Todos los pliegos del sector y cada pliego del sector</t>
    </r>
  </si>
  <si>
    <t>Decreto Legislativo 276 (Regimen Público)</t>
  </si>
  <si>
    <t>VARIACION 2019-2020</t>
  </si>
  <si>
    <t>2019 (PIA)</t>
  </si>
  <si>
    <t>(*) DEBE COINCIDIR CON LOS MONTOS ASIGNADOS EN LA GENERICA 1. PERSONAL Y OBLIGACIONES SOCIALES CONSIDERADAS EN EL PRESUPUESTO</t>
  </si>
  <si>
    <r>
      <t xml:space="preserve">PLIEGO: </t>
    </r>
    <r>
      <rPr>
        <sz val="9"/>
        <rFont val="Arial"/>
        <family val="2"/>
      </rPr>
      <t>Todos los pliego del sector y cada pliego del sector</t>
    </r>
  </si>
  <si>
    <t>INGRESOS PERSONAL PRESUPUESTO 2019</t>
  </si>
  <si>
    <t>TOTAL INGRESO ANUAL PEA (Proyección al 31 de diciembre de  2019)</t>
  </si>
  <si>
    <t>TOTAL INGRESO ANUAL PEA (Proyección al 31 de diciembre de 2020)</t>
  </si>
  <si>
    <t>PPTO 2019 
(PIA)</t>
  </si>
  <si>
    <t>Diferencia PIA (2019-2020)</t>
  </si>
  <si>
    <t>Variación % (2019-2020)</t>
  </si>
  <si>
    <t>(*) DEBE COINCIDIR CON LOS MONTOS ASIGNADOS EN LA GENERICA 3. BIENES Y SERVICIOS CONSIDERADAS EN EL PRESUPUESTO 2018 - 2019 - 2020</t>
  </si>
  <si>
    <t>EJECUCIÓN S/</t>
  </si>
  <si>
    <t>(*) Una línea por cada año fiscal, consignado en monto presupuestado por cada año presupuestal</t>
  </si>
  <si>
    <t>PERSONA JURIDICA (RUC)</t>
  </si>
  <si>
    <t>PERSONA NATURAL (DNI)</t>
  </si>
  <si>
    <t xml:space="preserve">    - OTROS (ESPECIFIQUE)</t>
  </si>
  <si>
    <t xml:space="preserve">       OFICIALES DE CRED. EXTERNO</t>
  </si>
  <si>
    <t>MONEDA</t>
  </si>
  <si>
    <t>FECHA DE APERTURA</t>
  </si>
  <si>
    <t>CUENTA</t>
  </si>
  <si>
    <t>BANCO / INSTITUCIÓN FINANCIERA</t>
  </si>
  <si>
    <t>CUENTAS BANCARIAS</t>
  </si>
  <si>
    <t>ESPECIFICACIONES RECURSOS PUBLICOS</t>
  </si>
  <si>
    <t>SALDO 2018 (*)</t>
  </si>
  <si>
    <t>SALDO 2019 (**)</t>
  </si>
  <si>
    <t>AÑO FISCAL 2018</t>
  </si>
  <si>
    <t>AÑO FISCAL 2019 (*)</t>
  </si>
  <si>
    <t>ÍNDICE DE FORMATOS</t>
  </si>
  <si>
    <t>INDICADORES DE GESTIÓN SEGÚN OBJETIVOS ESTRATÉGICOS INSTITUCIONALES AL 2021</t>
  </si>
  <si>
    <t>FORMATO Nº 1:</t>
  </si>
  <si>
    <t>FORMATO Nº 2:</t>
  </si>
  <si>
    <t>FORMATO Nº 3:</t>
  </si>
  <si>
    <t>FORMATO Nº 4:</t>
  </si>
  <si>
    <t>FORMATO Nº 5:</t>
  </si>
  <si>
    <t>FORMATO Nº 6:</t>
  </si>
  <si>
    <t>FORMATO Nº 7:</t>
  </si>
  <si>
    <t>FORMATO Nº 8:</t>
  </si>
  <si>
    <t>FORMATO Nº 9:</t>
  </si>
  <si>
    <t>FORMATO Nº 10:</t>
  </si>
  <si>
    <t>FORMATO Nº 11:</t>
  </si>
  <si>
    <t>FORMATO Nº 12:</t>
  </si>
  <si>
    <t>FORMATO Nº 13:</t>
  </si>
  <si>
    <t>FORMATO Nº 14:</t>
  </si>
  <si>
    <t>FORMATO Nº 15:</t>
  </si>
  <si>
    <t>FORMATO Nº 16:</t>
  </si>
  <si>
    <t>FORMATO Nº 17:</t>
  </si>
  <si>
    <t>FORMATO Nº 18:</t>
  </si>
  <si>
    <t>INDICADORES INSTITUCIONALES</t>
  </si>
  <si>
    <t>DISTRIBUCIÓN DEL GASTO</t>
  </si>
  <si>
    <t>GASTOS DE PERSONAL</t>
  </si>
  <si>
    <t>GASTOS EN BIENES Y SERVICIOS</t>
  </si>
  <si>
    <t>FORMATO 02: DISTRIBUCIÓN DEL PRESUPUESTO POR CATEGORÍA PRESUPUESTAL 2019, 2020 Y PROYECTO 2021</t>
  </si>
  <si>
    <t>2020 (*)</t>
  </si>
  <si>
    <t>2021 (**)</t>
  </si>
  <si>
    <t>(*) Proyección al 31/12/2020</t>
  </si>
  <si>
    <t>(**) Proyecto 2021</t>
  </si>
  <si>
    <t>FORMATO 03: DISTRIBUCIÓN DEL PRESUPUESTO POR FUENTE DE FINANCIAMIENTO 2019, 2020 Y PROYECTO 2021</t>
  </si>
  <si>
    <t>FORMATO 04: DISTRIBUCIÓN DEL GASTO POR UNIDADES EJECUTORAS / ENTIDAD PÚBLICA Y FUENTES DE FINANCIAMIENTO - PROYECTO 2021</t>
  </si>
  <si>
    <t>FORMATO 05: DISTRIBUCIÓN DEL PRESUPUESTO POR PROGRAMA PRESUPUESTAL 2019, 2020 Y 2021</t>
  </si>
  <si>
    <t>FORMATO 06: PROGRAMAS SOCIALES PRIORIZADOS SEGÚN EL CICLO DE VIDA POR FUENTE DE FINANCIAMIENTO 2019, 2020 Y PROYECTO 2021</t>
  </si>
  <si>
    <t>DIferencia 
(2019-2020</t>
  </si>
  <si>
    <t>Proyecto 2021</t>
  </si>
  <si>
    <t>Estimado 2020 (**)</t>
  </si>
  <si>
    <t>DIferencia 
(2020-2021)</t>
  </si>
  <si>
    <t>(*) Al 30 de junio de 2020</t>
  </si>
  <si>
    <t>(**) Estimado al 31 de diciembre de 2020</t>
  </si>
  <si>
    <t>FORMATO 07: RESUMEN POR GRUPO GENÉRICO Y FUENTES DE FINANCIAMIENTO PROYECTO 2021</t>
  </si>
  <si>
    <t>GASTO CORRIENTE 2021</t>
  </si>
  <si>
    <t>GASTO CAPITAL 2021</t>
  </si>
  <si>
    <t>SERVICIO DE DEUDA 2021</t>
  </si>
  <si>
    <t>FORMATO 08: RESUMEN DE PRESUPUESTO POR FUNCIONES PIA 2019, 2020 Y PROYECTO 2021</t>
  </si>
  <si>
    <t>Var. % (2020-2021)</t>
  </si>
  <si>
    <t>2020 (JUNIO)</t>
  </si>
  <si>
    <t>PROYECCIÓN 2021 (JUNIO)</t>
  </si>
  <si>
    <t>FORMATO 09: COMPARATIVO DEL NÚMERO DE PLAZAS EN EL PRESUPUESTO  2020 Y PROYECTO 2021</t>
  </si>
  <si>
    <t>2020 (PIA)</t>
  </si>
  <si>
    <t>2021  (PROYECTO)</t>
  </si>
  <si>
    <t>FORMATO 12: ASIGNACIÓN DE BIENES Y SERVICIOS - COMPARATIVO PRESUPUESTO 2019, 2020 Y PROYECTO 2021</t>
  </si>
  <si>
    <t>PPTO 2019 (PIM)</t>
  </si>
  <si>
    <t>PPTO 2020 
(PIA)</t>
  </si>
  <si>
    <t>PPTO 2020
(PIM 30 JUNIO)</t>
  </si>
  <si>
    <t>PPTO 2021 (PROYECTO)</t>
  </si>
  <si>
    <t>Variación % (2020-2021)</t>
  </si>
  <si>
    <t>Diferencia PIA (2020-2021)</t>
  </si>
  <si>
    <t>FORMATO 13: CONTRATOS DE OBRAS SUSCRITOS EN LOS AÑOS 2019 Y 2020</t>
  </si>
  <si>
    <t>FORMATO 14: PRINCIPALES ADQUISICIONES DE BIENES Y SERVICIOS - PRESUPUESTO 2019, 2020 Y PROYECTO 2021</t>
  </si>
  <si>
    <t>FORMATO 15: DETALLE DE CONSULTORIAS PERSONAS JURÍDICAS Y NATURALES - PRESUPUESTO 2019 Y 2020</t>
  </si>
  <si>
    <t>FORMATO 16: TESORERIA - RESUMEN POR GRUPO GENERICO Y FUENTES DE FINANCIAMIENTO 2019 Y 2020</t>
  </si>
  <si>
    <t>(*) Saldo al 31 de Diciembre de 2019</t>
  </si>
  <si>
    <t>(**) Saldo al 30 de Junio de 2020</t>
  </si>
  <si>
    <t>FORMATO 17: NOMBRES E INGRESOS MENSUALES DEL PERSONAL CONTRATADO FUERA DEL PAP EN LOS AÑOS FISCALES 2019 Y 2020</t>
  </si>
  <si>
    <t>FORMATO 18: ALQUILER DE INMUEBLES EN LOS AÑOS FISCALES 2019 Y 2020</t>
  </si>
  <si>
    <t>(*) = Al 30 de junio de 2020</t>
  </si>
  <si>
    <t>FORMATO 11: INGRESOS MENSUALES POR PERIODO DEL PERSONAL ACTIVO -  COMPARATIVO PRESUPUESTO 2019, 2020 Y PROYECTO 2021</t>
  </si>
  <si>
    <t>INGRESOS PERSONAL PRESUPUESTO 2020</t>
  </si>
  <si>
    <t>PROYECTO 2021</t>
  </si>
  <si>
    <t>DIFERENCIA 
(2019 -2020)</t>
  </si>
  <si>
    <t>DISTRIBUCIÓN DEL PRESUPUESTO POR CATEGORÍA PRESUPUESTAL 2019, 2020 Y PROYECTO 2021</t>
  </si>
  <si>
    <t>DISTRIBUCIÓN DEL PRESUPUESTO POR FUENTE DE FINANCIAMIENTO 2019, 2020 Y PROYECTO 2021</t>
  </si>
  <si>
    <t>DISTRIBUCIÓN DEL GASTO POR UNIDADES EJECUTORAS / ENTIDAD PÚBLICA Y FUENTES DE FINANCIAMIENTO - PROYECTO 2021</t>
  </si>
  <si>
    <t>DISTRIBUCIÓN DEL PRESUPUESTO POR PROGRAMA PRESUPUESTAL 2019, 2020 Y 2021</t>
  </si>
  <si>
    <t>PROGRAMAS SOCIALES PRIORIZADOS SEGÚN EL CICLO DE VIDA POR FUENTE DE FINANCIAMIENTO 2019, 2020 Y PROYECTO 2021</t>
  </si>
  <si>
    <t>RESUMEN POR GRUPO GENÉRICO Y FUENTES DE FINANCIAMIENTO PROYECTO 2021</t>
  </si>
  <si>
    <t>RESUMEN DE PRESUPUESTO POR FUNCIONES PIA 2019, 2020 Y PROYECTO 2021</t>
  </si>
  <si>
    <t>COMPARATIVO DEL NÚMERO DE PLAZAS EN EL PRESUPUESTO 2019, 2020 Y PROYECTO 2021</t>
  </si>
  <si>
    <t>INFORMACIÓN DE REMUNERACIONES Y NÚMERO DE PLAZAS - PRESUPUESTO 2019, 2020 Y PROYECTO 2021</t>
  </si>
  <si>
    <t>INGRESOS MENSUALES POR PERIODO DEL PERSONAL ACTIVO -  COMPARATIVO PRESUPUESTO 2019, 2020 Y PROYECTO 2021</t>
  </si>
  <si>
    <t>ASIGNACIÓN DE BIENES Y SERVICIOS - COMPARATIVO PRESUPUESTO 2019, 2020 Y PROYECTO 2021</t>
  </si>
  <si>
    <t>CONTRATOS DE OBRAS SUSCRITOS EN LOS AÑOS 2019 Y 2020</t>
  </si>
  <si>
    <t>PRINCIPALES ADQUISICIONES DE BIENES Y SERVICIOS - PRESUPUESTO 2019, 2020 Y PROYECTO 2021</t>
  </si>
  <si>
    <t>DETALLE DE CONSULTORIAS PERSONAS JURÍDICAS Y NATURALES - PRESUPUESTO 2019, 2020 Y PROYECTO 2021</t>
  </si>
  <si>
    <t>TESORERIA - RESUMEN POR GRUPO GENERICO Y FUENTES DE FINANCIAMIENTO 2019 Y 2020</t>
  </si>
  <si>
    <t>NOMBRES E INGRESOS MENSUALES DEL PERSONAL CONTRATADO FUERA DEL PAP EN LOS AÑOS FISCALES 2019 Y 2020</t>
  </si>
  <si>
    <t>ALQUILER DE INMUEBLES EN LOS AÑOS FISCALES 2019 Y 2020</t>
  </si>
  <si>
    <t>PPTO 2020 (AL 30/06)</t>
  </si>
  <si>
    <t>PPTO 2020 (PROYECCI{ON 31/12)</t>
  </si>
  <si>
    <t>EJECUCIÓN 2019</t>
  </si>
  <si>
    <t>EJECUCIÓN 2020 (*)</t>
  </si>
  <si>
    <r>
      <t xml:space="preserve">GOBIERNO REGIONAL MADRE DE DIOS - FTE. FTO. </t>
    </r>
    <r>
      <rPr>
        <b/>
        <sz val="8"/>
        <color rgb="FFFF0000"/>
        <rFont val="Arial"/>
        <family val="2"/>
      </rPr>
      <t>RECURSOS ORDINARIOS</t>
    </r>
  </si>
  <si>
    <r>
      <t xml:space="preserve">GOBIERNO REGIONAL MADRE DE DIOS - FTE. FTO. </t>
    </r>
    <r>
      <rPr>
        <b/>
        <sz val="8"/>
        <color rgb="FFFF0000"/>
        <rFont val="Arial"/>
        <family val="2"/>
      </rPr>
      <t>RECURSOS DIRECTAMENTE RECAUADADOS</t>
    </r>
  </si>
  <si>
    <r>
      <t xml:space="preserve">GOBIERNO REGIONAL MADRE DE DIOS - FTE. FTO. </t>
    </r>
    <r>
      <rPr>
        <b/>
        <sz val="8"/>
        <color rgb="FFFF0000"/>
        <rFont val="Arial"/>
        <family val="2"/>
      </rPr>
      <t>RECURSOS POR OPERACIONES OFICIALES DE CREDITO</t>
    </r>
  </si>
  <si>
    <r>
      <t xml:space="preserve">GOBIERNO REGIONAL MADRE DE DIOS - FTE. FTO. </t>
    </r>
    <r>
      <rPr>
        <b/>
        <sz val="8"/>
        <color rgb="FFFF0000"/>
        <rFont val="Arial"/>
        <family val="2"/>
      </rPr>
      <t>DONACIONES Y TRANSFERENCIAS</t>
    </r>
  </si>
  <si>
    <r>
      <t xml:space="preserve">GOBIERNO REGIONAL MADRE DE DIOS - FTE. FTO. </t>
    </r>
    <r>
      <rPr>
        <b/>
        <sz val="8"/>
        <color rgb="FFFF0000"/>
        <rFont val="Arial"/>
        <family val="2"/>
      </rPr>
      <t>RECURSOS DETERMINADOS</t>
    </r>
  </si>
  <si>
    <t>2021  **</t>
  </si>
  <si>
    <t>2020 *</t>
  </si>
  <si>
    <t>2020  *</t>
  </si>
  <si>
    <t>2021 **</t>
  </si>
  <si>
    <t>2021   **</t>
  </si>
  <si>
    <t>OBJETIVOS ESTRATÉGICOS INSTITUCIONALES CON INDICADORES</t>
  </si>
  <si>
    <t>OBJETIVO ESTRATÉGICO INSTITUCIONAL</t>
  </si>
  <si>
    <t>DESCRIPCIÓN DEL INDICADOR</t>
  </si>
  <si>
    <t>LÍNEA DE BASE </t>
  </si>
  <si>
    <t>VALOR ACTUAL </t>
  </si>
  <si>
    <t>METAS EN EL PERIODO </t>
  </si>
  <si>
    <t>FUENTE DE DATOS</t>
  </si>
  <si>
    <t>U.O. RESPONSABLE DE MEDICIÓN</t>
  </si>
  <si>
    <t>CÓDIGO</t>
  </si>
  <si>
    <t>DESCRIPCIÓN</t>
  </si>
  <si>
    <t>NOMBRE</t>
  </si>
  <si>
    <t>VALOR</t>
  </si>
  <si>
    <t>AÑO</t>
  </si>
  <si>
    <t>AÑO 2018</t>
  </si>
  <si>
    <t>AÑO 2019</t>
  </si>
  <si>
    <t>AÑO 2020</t>
  </si>
  <si>
    <t>OEI.01</t>
  </si>
  <si>
    <t>IMPULSAR EL DESARROLLO SOCIAL  E IGUALDAD DE OPORTUNIDADES DE LAS PERSONAS EN EL DEPARTAMENTO DE MADRE DE DIOS</t>
  </si>
  <si>
    <t>ÍNDICE DE DESARROLLO SOCIAL</t>
  </si>
  <si>
    <t>PROGRAMA DE LAS NACIONES UNIDAS PARA EL DESARROLLO</t>
  </si>
  <si>
    <t xml:space="preserve">*GERENCIA REGIONAL DE DESARROLLO SOCIAL               
*DIRECCIÓN REGIONAL DE EDUCACIÓN                  
 *DIRECCIÓN REGIONAL DE SALUD
</t>
  </si>
  <si>
    <t>TASA DE DELITOS REGISTRADOS POR CADA 10000 HABITANTES</t>
  </si>
  <si>
    <t>57.31 CASOS</t>
  </si>
  <si>
    <t>S.I.</t>
  </si>
  <si>
    <t>INEI</t>
  </si>
  <si>
    <t>OEI.02</t>
  </si>
  <si>
    <t>FORTALECER LAS CADENAS PRODUCTIVAS PARA EL DESARROLLO SOSTENIBLE DEL DEPARTAMENTO DE MADRE DE DIOS</t>
  </si>
  <si>
    <t>PRODUCTO BRUTO INTERNO PER CÁPITA. EN MILES DE NUEVOS SOLES (VALORES A PRECIOS CONSTANTES DE 2007)</t>
  </si>
  <si>
    <t xml:space="preserve">*GERENCIA REGIONAL DE DESARROLLO ECONÓMICO                                  
Y
DIRECCIONES REGIONALES
</t>
  </si>
  <si>
    <t>ÍNDICE DE COMPETITIVIDAD REGIONAL</t>
  </si>
  <si>
    <t>OEI.03</t>
  </si>
  <si>
    <t>AMPLIAR LA COBERTURA DE LOS SERVICIOS BÁSICOS DE LA POBLACIÓN</t>
  </si>
  <si>
    <t>PORCENTAJE DE HOGARES QUE SE ABASTECEN DE AGUA SEGURA MEDIANTE RED PUBLICA</t>
  </si>
  <si>
    <t>*DIRECCIÓN REGIONAL DE VIVIENDA, CONSTRUCCIÓN Y SANEAMIENTO
*GERENCIA REGIONAL DE INFRAESTRUCTURA</t>
  </si>
  <si>
    <t>PORCENTAJE DE HOGARES CON SERVICIOS DE ELECTRICIDAD</t>
  </si>
  <si>
    <t>OEI.04</t>
  </si>
  <si>
    <t>GESTIONAR EL USO EFICIENTE Y SOSTENIBLE DE LOS RECURSOS NATURALES DE MADRE DE DIOS</t>
  </si>
  <si>
    <t xml:space="preserve">PORCENTAJE DEL GASTO PÚBLICO AMBIENTAL </t>
  </si>
  <si>
    <t>MINAM</t>
  </si>
  <si>
    <t>GERENCIA REGIONAL DE RECURSOS NATURALES Y GESTIÓN DEL MEDIO AMBIENTE</t>
  </si>
  <si>
    <t>ÍNDICE DE DESEMPEÑO AMBIENTAL</t>
  </si>
  <si>
    <t> 2017</t>
  </si>
  <si>
    <t> 11.6</t>
  </si>
  <si>
    <t> 12.4</t>
  </si>
  <si>
    <t>OEI.05</t>
  </si>
  <si>
    <t>DESARROLLAR LA ADECUADA INFRAESTRUCTURA DE LA REGIÓN</t>
  </si>
  <si>
    <t>NÚMERO DE NUEVOS ESTABLECIMIENTOS DE SALUD CONSTRUIDOS</t>
  </si>
  <si>
    <t>DIRESA</t>
  </si>
  <si>
    <t>*DIRECCIÓN REGIONAL DE SALUD
*DIRECCIÓN REGIONAL DE EDUCACIÓN *GERENCIAS REGIONAL DE INFRAESTRUCTURA</t>
  </si>
  <si>
    <t>NÚMERO DE  NUEVAS INSTITUCIONES EDUCATIVAS CON EQUIPAMIENTO MODERNO PARA LOS ESTUDIANTES</t>
  </si>
  <si>
    <t>-</t>
  </si>
  <si>
    <t>DRE</t>
  </si>
  <si>
    <t>OEI.06</t>
  </si>
  <si>
    <t>FORTALECER  LA GESTIÓN INSTITUCIONAL</t>
  </si>
  <si>
    <t>NUMERO DE DOCUMENTOS  REGIONALES NORMATIVOS Y DE FISCALIZACIÓN ELABORADOS</t>
  </si>
  <si>
    <t>SUB GERENCIA DE DESARROLLO INSTITUCIONAL</t>
  </si>
  <si>
    <t> GOBIERNO REGIONAL MADRE DE DIOS</t>
  </si>
  <si>
    <t>OEI.07</t>
  </si>
  <si>
    <t>PROMOVER LA GESTIÓN DE RIESGO DE DESASTRES EN EL DEPARTAMENTO DE MADRE DE DIOS</t>
  </si>
  <si>
    <t>NUMERO DE IMPACTOS DE LOS PELIGROS EN LA POBLACIÓN DE MADRE DE DIOS</t>
  </si>
  <si>
    <t>PLANAGERD</t>
  </si>
  <si>
    <t>*OFICINA DE DEFENSA NACIONAL Y DEFENSA CIVIL                     
*CENTRO DE OPERACIONES DE EMERGENCIA REGIONAL</t>
  </si>
  <si>
    <t>POBLACIÓN PRIORITARIAMENTE VULNERABLE</t>
  </si>
  <si>
    <t>ACCIONES ESTRATÉGICAS INSTITUCIONALES CON INDICADORES</t>
  </si>
  <si>
    <t>Acción Estratégica Institucional</t>
  </si>
  <si>
    <t>Descripción del Indicador</t>
  </si>
  <si>
    <t>Línea de Base</t>
  </si>
  <si>
    <t>Valor Actual</t>
  </si>
  <si>
    <t>Metas en el periodo</t>
  </si>
  <si>
    <t>Fuente de datos</t>
  </si>
  <si>
    <t>UO Responsable de medición</t>
  </si>
  <si>
    <t>Código</t>
  </si>
  <si>
    <t>Descripción</t>
  </si>
  <si>
    <t>Nombre</t>
  </si>
  <si>
    <t>Valor</t>
  </si>
  <si>
    <t>Año</t>
  </si>
  <si>
    <t>Año 2018</t>
  </si>
  <si>
    <t>Año 2019</t>
  </si>
  <si>
    <t>Año 2020</t>
  </si>
  <si>
    <t>AEI.01.01</t>
  </si>
  <si>
    <t xml:space="preserve">ATENCIÓN INTEGRAL DE SALUD AL NIÑO Y LA GESTANTE. </t>
  </si>
  <si>
    <t xml:space="preserve">TASA DE MORTALIDAD MATERNA  </t>
  </si>
  <si>
    <t>DIRECCIÓN REGIONAL DE SALUD</t>
  </si>
  <si>
    <t>*Dirección Regional de Salud                   *Hospital Santa Rosa</t>
  </si>
  <si>
    <t>TASA DE MORTALIDAD NEONATAL HOSPITALARIA</t>
  </si>
  <si>
    <t>AEI.01.02</t>
  </si>
  <si>
    <t>ATENCIÓN PARA LA PREVENCIÓN, CONTROL Y SEGUIMIENTO DE ENFERMEDADES TRANSMISIBLES DE MANERA INTEGRAL A LA POBLACIÓN.</t>
  </si>
  <si>
    <t>COBERTURA DE TAMIZAJE EN VIH  EN POBLACIONES DE ALTO RIESGO (HSH, TS, TRAN, PPL, POBLACIÓN INDÍGENA)</t>
  </si>
  <si>
    <t>PORCENTAJE DE PERSONAS DIAGNOSTICADAS CON VIH QUE RECIBEN TRATAMIENTO TARGA</t>
  </si>
  <si>
    <t>AEI.01.03</t>
  </si>
  <si>
    <t>ATENCIÓN PARA LA PREVENCIÓN Y CONTROL DE ENFERMEDADES METAXENICAS Y ZOONOSIS DE MANERA INTEGRAL A LA POBLACIÓN.</t>
  </si>
  <si>
    <t>CASOS TRATADOS POR DENGUE</t>
  </si>
  <si>
    <t>TASA DE LETALIDAD POR DENGUE</t>
  </si>
  <si>
    <t>AEI.01.04</t>
  </si>
  <si>
    <t>ATENCIÓN PARA LA PREVENCIÓN Y CONTROL DE ENFERMEDADES NO TRANSMISIBLES DE MANERA INTEGRAL A LA POBLACIÓN.</t>
  </si>
  <si>
    <t xml:space="preserve">PORCENTAJE DE EVALUACIÓN CLÍNICA Y TAMIZAJE LABORATORIAL  DE ENFERMEDADES CRÓNICAS </t>
  </si>
  <si>
    <t>PORCENTAJE DE POBLACIÓN EN RIESGO CON PROBLEMAS PSICOSOCIALES Y TRASTORNOS MENTALES QUE ACCEDE A LAS ATENCIONES EN LOS EE.SS</t>
  </si>
  <si>
    <t>AEI.01.05</t>
  </si>
  <si>
    <t>ATENCIÓN PARA ENFRENTAR EMERGENCIAS Y URGENCIAS MÉDICAS DE MANERA INTEGRAL A LA POBLACIÓN.</t>
  </si>
  <si>
    <t>PORCENTAJE DE LLAMADAS DE EMERGENCIAS MÉDICAS ATENDIDAS POR EL "106"</t>
  </si>
  <si>
    <t>S.I</t>
  </si>
  <si>
    <t>NUMERO DE ATENCIONES DE EMERGENCIAS O URGENCIAS REALIZADAS</t>
  </si>
  <si>
    <t>AEI.01.06</t>
  </si>
  <si>
    <t>COMEDORES IMPLEMENTADOS EN INSTITUCIONES EDUCATIVAS CON JORNADA ESCOLAR COMPLETA EN BENEFICIO DE LOS ESTUDIANTES.</t>
  </si>
  <si>
    <t>PORCENTAJE DE ESTUDIANTES DE II.EE BENEFICIADOS CON EL USO DE COMEDOR</t>
  </si>
  <si>
    <t xml:space="preserve">DIRECCIÓN REGIONAL  DE EDUCACIÓN  </t>
  </si>
  <si>
    <t>*Dirección Regional de Educación                       *Gerencia Regional de Infraestructura</t>
  </si>
  <si>
    <t>AEI.01.07</t>
  </si>
  <si>
    <t>DOTACIÓN DE MATERIALES EDUCATIVOS EN FORMA OPORTUNA A LAS INSTITUCIONES EDUCATIVAS</t>
  </si>
  <si>
    <t>PORCENTAJE DE ESTUDIANTES DE II.EE BENEFICIADOS CON KITS ESCOLARES</t>
  </si>
  <si>
    <t xml:space="preserve">*Dirección Regional de Educación                       </t>
  </si>
  <si>
    <t>AEI.01.08</t>
  </si>
  <si>
    <t>FORMACIÓN ESPECIALIZADA, PERMANENTE, Y OPORTUNA A DOCENTES DE LOS DIFERENTES NIVELES Y MODALIDADES.</t>
  </si>
  <si>
    <t>PORCENTAJE DE DOCENTES QUE RECIBEN CAPACITACIÓN</t>
  </si>
  <si>
    <t>AEI.01.09</t>
  </si>
  <si>
    <t>SERVICIOS EDUCATIVOS CON ADECUADA CAPACIDAD INSTALADA A ESTUDIANTES DE 1 A 5 AÑOS DEL DEPARTAMENTO DE MADRE DE DIOS</t>
  </si>
  <si>
    <t>NUMERO DE NUEVOS SERVICIOS EDUCATIVOS CON SUFICIENTE CAPACIDAD INSTALADA</t>
  </si>
  <si>
    <t>CUNAS JARDÍN, LAS ARDILLITAS Y SANTA RITA DE CASIA</t>
  </si>
  <si>
    <t>AEI.01.10</t>
  </si>
  <si>
    <t>PROGRAMA DE FORTALECIMIENTO INTEGRAL DE INSERCIÓN LABORAL DE JÓVENES A NIVEL DEPARTAMENTAL</t>
  </si>
  <si>
    <t>PORCENTAJE DE JÓVENES CON INSERCIÓN LABORAL</t>
  </si>
  <si>
    <t>GERENCIA REGIONAL DE LA JUVENTUD</t>
  </si>
  <si>
    <t>*Dirección Regional de Trabajo y Promoción del Empleo *Gerencia Regional de la Juventud</t>
  </si>
  <si>
    <t>AEI.01.11</t>
  </si>
  <si>
    <t>PROGRAMAS INTEGRALES DE INTERCULTURALIDAD A LA POBLACIÓN A NIVEL DEPARTAMENTAL</t>
  </si>
  <si>
    <t>PORCENTAJE DE ACTIVIDADES EJECUTADAS</t>
  </si>
  <si>
    <t>GERENCIA SUB REGIONAL DE TAHUAMANU</t>
  </si>
  <si>
    <t>Gerencia Sub Regional de Tahuamanu</t>
  </si>
  <si>
    <t>AEI.01.12</t>
  </si>
  <si>
    <t>SISTEMAS DE SEGURIDAD CIUDADANA EN FORMA OPORTUNA A LA POBLACIÓN</t>
  </si>
  <si>
    <t>PORCENTAJE DE ATENCIÓN A LA POBLACIÓN CON SISTEMAS DE SEGURIDAD CIUDADANA</t>
  </si>
  <si>
    <t>GERENCIA DE DESARROLLO SOCIAL</t>
  </si>
  <si>
    <t>Gerencia Regional de Desarrollo Social</t>
  </si>
  <si>
    <t>AEI.01.13</t>
  </si>
  <si>
    <t>ATENCIÓN A MUJERES VICTIMAS DE VIOLENCIA DOMESTICA DE FORMA OPORTUNA EN EL DEPARTAMENTO DE MADRE DE DIOS</t>
  </si>
  <si>
    <t>PORCENTAJE DE ATENCIÓN A MUJERES VICTIMAS DE VIOLENCIA ATENDIDAS EN FORMA OPORTUNA</t>
  </si>
  <si>
    <t xml:space="preserve"> -</t>
  </si>
  <si>
    <t>AEI.02.01</t>
  </si>
  <si>
    <t>SERVICIOS TURÍSTICOS DE CALIDAD A LOS VISITANTES NACIONALES Y EXTRANJEROS</t>
  </si>
  <si>
    <t>PORCENTAJE DE SERVICIOS TURÍSTICOS DE CALIDAD</t>
  </si>
  <si>
    <t>DIRECCIÓN REGIONAL DE COMERCIO EXTERIOR Y TURISMO</t>
  </si>
  <si>
    <t>Dirección Regional de Comercio Exterior y Turismo</t>
  </si>
  <si>
    <t>AEI.02.02</t>
  </si>
  <si>
    <t>ÁREAS DEGRADADAS RECUPERADAS CON SISTEMAS AGROFORESTALES EN ZONAS INTERVENIDAS A FAVOR DE LOS AGRICULTORES</t>
  </si>
  <si>
    <t>NÚMERO DE HECTÁREAS RECUPERADAS</t>
  </si>
  <si>
    <t>AIDER</t>
  </si>
  <si>
    <t>*Dirección Regional de Agricultura         
*Gerencia Regional de Recursos Naturales y gestión del medio ambiente</t>
  </si>
  <si>
    <t>AEI.02.03</t>
  </si>
  <si>
    <t>PROGRAMAS DE FORMALIZACIÓN EMPRESARIAL DE MANERA INTEGRAL A LA POBLACIÓN</t>
  </si>
  <si>
    <t>NÚMERO DE PROGRAMAS FORMALIZACIÓN EMPRESARIAL</t>
  </si>
  <si>
    <t>SI</t>
  </si>
  <si>
    <t>DIREPRO</t>
  </si>
  <si>
    <t>Dirección Regional de la Producción, Agricultura y comercio Exterior y Turismo</t>
  </si>
  <si>
    <t>AEI.02.04</t>
  </si>
  <si>
    <t>ACTIVIDADES ACUÍCOLAS, PESQUERAS E INDUSTRIALES CON SUPERVISIÓN Y CONTROL DE MANERA OPORTUNA PARA LOS POBLADORES</t>
  </si>
  <si>
    <t>NÚMERO DE OPERATIVOS DE CONTROL Y VIGILANCIA</t>
  </si>
  <si>
    <t xml:space="preserve">*DIRECCIÓN REGIONAL DE LA PRODUCCIÓN </t>
  </si>
  <si>
    <t>Dirección Regional de la Producción y Gerencia Sub Regional de Manu</t>
  </si>
  <si>
    <t>AEI.02.05</t>
  </si>
  <si>
    <t>INFRAESTRUCTURA DE RIEGO ADECUADA A UNIDADES AGRÍCOLAS ORGANIZADAS DEL DEPARTAMENTO.</t>
  </si>
  <si>
    <t>NÚMERO DE HECTÁREAS ASISTIDAS CON SISTEMA DE RIEGO</t>
  </si>
  <si>
    <t>PROYECTO ESPECIAL MDD</t>
  </si>
  <si>
    <t>Proyecto Especial Madre  de Dios  y la Dirección Regional de Agricultura</t>
  </si>
  <si>
    <t>AEI.02.06</t>
  </si>
  <si>
    <t>ASISTENCIA TÉCNICA PARA MEJORAS EN LA PRODUCCIÓN Y COMERCIALIZACIÓN DE MANERA INTEGRAL A LOS PRODUCTORES ORGANIZADOS.</t>
  </si>
  <si>
    <t>PORCENTAJE DE PRODUCTORES CON ASISTENCIA TÉCNICA</t>
  </si>
  <si>
    <t>AEI.02.07</t>
  </si>
  <si>
    <t>RECURSOS TURÍSTICOS PROMOVIDOS SOSTENIBLEMENTE DEL DEPARTAMENTO MADRE DE DIOS</t>
  </si>
  <si>
    <t>PORCENTAJE DE INVERSIÓN EN PROMOCIÓN TURÍSTICA DEL GOBIERNO REGIONAL</t>
  </si>
  <si>
    <t>*Dirección Regional de turismo y comercio exterior</t>
  </si>
  <si>
    <t>AEI.02.08</t>
  </si>
  <si>
    <t>ASISTENCIA TÉCNICA INTEGRAL A LOS PRESTADORES DE SERVICIOS TURÍSTICOS A NIVEL DEPARTAMENTAL</t>
  </si>
  <si>
    <t>NUMERO DE CONSTANCIAS EMITIDAS A LAS EMPRESAS TURÍSTICAS</t>
  </si>
  <si>
    <t>AEI.03.01</t>
  </si>
  <si>
    <t>SANEAMIENTO BÁSICO FOCALIZADO EN LA POBLACIÓN</t>
  </si>
  <si>
    <t>PORCENTAJE DE HABITANTES QUE NO ACCEDEN  A SANEAMIENTO  EN LA CIUDAD DE PUERTO MALDONADO</t>
  </si>
  <si>
    <t>SUNASS</t>
  </si>
  <si>
    <t xml:space="preserve">Dirección Regional de Vivienda , Construcción y Saneamiento </t>
  </si>
  <si>
    <t>PORCENTAJE DE HABITANTES QUE NO ACCEDEN A SANEAMIENTO EN LA ZONA RURAL DE MADRE DE DIOS.</t>
  </si>
  <si>
    <t>DIRECCIÓN REGIONAL DE VIVIENDA, CONSTRUCCIÓN Y SANEAMIENTO.</t>
  </si>
  <si>
    <t>AEI.03.02</t>
  </si>
  <si>
    <t>CENTROS POBLADOS IDENTIFICADOS CON AGUA SEGURA, SANEAMIENTO BÁSICOS Y REDES DE TELECOMUNICACIÓN A LA POBLACIÓN</t>
  </si>
  <si>
    <t xml:space="preserve">PORCENTAJE DE HABITANTES QUE NO ACCEDEN  A AGUA SEGURA EN LA CIUDAD DE PUERTO MALDONADO </t>
  </si>
  <si>
    <t xml:space="preserve">PORCENTAJE DE HABITANTES QUE NO ACCEDEN  A AGUA SEGURA EN LA ZONA RURAL DE MADRE DE DIOS </t>
  </si>
  <si>
    <t>ENAPRESS</t>
  </si>
  <si>
    <t>AEI.04.01</t>
  </si>
  <si>
    <t>PROGRAMAS DE PREVENCIÓN DE QUEMAS E INCENDIOS FORESTALES INTEGRALES EN EL DEPTO DE MADRE DE DIOS.</t>
  </si>
  <si>
    <t>PORCENTAJE DE AVANCE DE PLAN DE PREVENCIÓN DE QUEMAS E INCENDIOS FORESTALES</t>
  </si>
  <si>
    <t xml:space="preserve">GERENCIA REGIONAL DE RECURSOS NATURALES Y GESTIÓN DEL MEDIO AMBIENTE    </t>
  </si>
  <si>
    <t>Gerencia Regional de Recursos Naturales y Gestión del Medio Ambiente y Sub Gerencia de Planeamiento</t>
  </si>
  <si>
    <t>AEI.04.02</t>
  </si>
  <si>
    <t>PROGRAMAS INTEGRALES DE SUPERVISIÓN Y MONITOREO DE ÁREAS PROTEGIDAS, DE CONSERVACIÓN REGIONAL Y PRIVADAS.</t>
  </si>
  <si>
    <t>NÚMERO DE SUPERVISIONES DE ÁREAS NATURALES PROTEGIDAS, DE CONSERVACIÓN REGIONAL Y PRIVADAS</t>
  </si>
  <si>
    <t xml:space="preserve">Gerencia Regional de Recursos Naturales y Gestión del Medio Ambiente y Dirección Regional de Agricultura   </t>
  </si>
  <si>
    <t>AEI.04.03</t>
  </si>
  <si>
    <t>SUPERVISIÓN Y MONITOREO DE ZONAS DE PESCA EN LA REGIÓN</t>
  </si>
  <si>
    <t xml:space="preserve">NÚMERO DE PLANES DE MANEJO PESQUERO Y ACUÍCOLA MONITOREADOS </t>
  </si>
  <si>
    <t>DIRECCIÓN REGIONAL DE LA PRODUCCIÓN</t>
  </si>
  <si>
    <t>*Gerencia Regional de Recursos Naturales y Gestión del Medio Ambiente      *Dirección Regional de la Producción</t>
  </si>
  <si>
    <t>AEI.04.04</t>
  </si>
  <si>
    <t>PLAN DE MANEJO PESQUERO Y ACUÍCOLA IMPLEMENTADO EN EL DEPARTAMENTO</t>
  </si>
  <si>
    <t>NUMERO DE PLANES DE MANEJO PESQUERO</t>
  </si>
  <si>
    <t>AEI.04.05</t>
  </si>
  <si>
    <t>PROGRAMA INTEGRAL DE INVESTIGACIÓN CIENTÍFICA DE LA BIODIVERSIDAD PARA LA COMUNIDAD CIENTÍFICA</t>
  </si>
  <si>
    <t>PORCENTAJE DE INVERSIÓN EN INVESTIGACIÓN DE LA BIODIVERSIDAD</t>
  </si>
  <si>
    <t>Gerencia Regional de Recursos Naturales y Gestión del Medio Ambiente</t>
  </si>
  <si>
    <t>AEI.05.01</t>
  </si>
  <si>
    <t>INFRAESTRUCTURA ELÉCTRICA ADECUADA EN BENEFICIO DE LA POBLACIÓN DEL DEPARTAMENTO.</t>
  </si>
  <si>
    <t>NÚMERO DE PROYECTOS DE INVERSIÓN DE ELECTRIFICACIÓN EN CENTROS POBLADOS RURALES  </t>
  </si>
  <si>
    <t>GERENCIA REGIONAL DE INFRAESTRUCTURA</t>
  </si>
  <si>
    <t xml:space="preserve">*Gerencia Regional de Infraestructura       </t>
  </si>
  <si>
    <t>AEI.05.02</t>
  </si>
  <si>
    <t>DOTACIÓN DE INFRAESTRUCTURA BÁSICA DE CALIDAD A LA POBLACIÓN</t>
  </si>
  <si>
    <t>PORCENTAJE DE INVERSIÓN EN INFRAESTRUCTURA</t>
  </si>
  <si>
    <t>*Gerencia Regional de Infraestructura
*Proyecto Especial Madre de Dios
*Dirección Regional de Transportes y comunicaciones.</t>
  </si>
  <si>
    <t>AEI.06.01</t>
  </si>
  <si>
    <t>SISTEMAS DE GESTIÓN INSTITUCIONAL MODERNOS EN EL GOBIERNO REGIONAL MADRE DE DIOS.</t>
  </si>
  <si>
    <t xml:space="preserve">NÚMERO DE INSTRUMENTO ACTUALIZADOS  DE GESTIÓN INSTITUCIONAL PARA LOS USUARIOS </t>
  </si>
  <si>
    <t>*Sub Gerencia de Desarrollo Institucional e Informática  *Unidades Orgánicas de Pliego</t>
  </si>
  <si>
    <t>*Sub Gerencia de Desarrollo Institucional e Informática                  *Unidades Orgánicas de Pliego</t>
  </si>
  <si>
    <t>NÚMERO DE CONVENIOS INTERINSTITUCIONALES  SUSCRITOS</t>
  </si>
  <si>
    <t>AEI.06.02</t>
  </si>
  <si>
    <t>PROGRAMAS DE COOPERACIÓN TÉCNICA Y FINANCIERA INTERNACIONAL DE MANERA INTEGRAL EN BENEFICIO DEL PERSONAL DEL GOBIERNO REGIONAL DE MADRE DE DIOS.</t>
  </si>
  <si>
    <t xml:space="preserve">NÚMERO DE PROGRAMAS DE COOPERACIÓN TÉCNICA INTERNACIONAL GESTIONADOS  A LOS USUARIOS INTERNOS </t>
  </si>
  <si>
    <t xml:space="preserve">*Oficina de Cooperación Técnica Internacional </t>
  </si>
  <si>
    <t>AEI.06.03</t>
  </si>
  <si>
    <t>PROGRAMAS PERMANENTES DE GENERACIÓN DE CAPACIDADES PARA LOS SERVIDORES DEL GOBIERNO REGIONAL</t>
  </si>
  <si>
    <t>NÚMERO DE PROGRAMAS DE GENERACIÓN DE CAPACIDADES PARA LOS SERVIDORES DEL GOBIERNO REGIONAL</t>
  </si>
  <si>
    <t>Dirección Regional de Personal</t>
  </si>
  <si>
    <t>AEI.06.04</t>
  </si>
  <si>
    <t>SISTEMAS TECNOLÓGICOS INTEGRADOS PARA IMPULSAR EL USO Y LA OCUPACIÓN ORDENADA Y SOSTENIBLE DEL TERRITORIO</t>
  </si>
  <si>
    <t>PORCENTAJE DE SISTEMAS TECNOLÓGICO INTEGRADOS PARA IMPULSAR EL USO Y LA OCUPACIÓN ORDENADA Y SOSTENIBLE DEL TERRITORIO</t>
  </si>
  <si>
    <t>*SUB GERENCIA DE DESARROLLO INSTITUCIONAL       
  *SUB GERENCIA DE Acondicionamiento Territorial</t>
  </si>
  <si>
    <t>*SUB GERENCIA DE DESARROLLO INSTITUCIONAL                                                *SUB GERENCIA DE Acondicionamiento Territorial</t>
  </si>
  <si>
    <t>AEI.07.01</t>
  </si>
  <si>
    <t>PROGRAMAS DE PREVENCIÓN DE RIESGOS Y DESASTRES EN FORMA INTEGRAL EN LAS ZONAS VULNERABLES DE LA REGIÓN</t>
  </si>
  <si>
    <t>ASIGNACIÓN PRESUPUESTAL EN PROYECTOS DE INVERSIÓN PUBLICA ASOCIADOS AL PP0068</t>
  </si>
  <si>
    <t>PLANAGERD 2014 - 2021</t>
  </si>
  <si>
    <t>*Oficina de Defensa Nacional y Defensa Civil                        *COER</t>
  </si>
  <si>
    <t>AEI.07.02</t>
  </si>
  <si>
    <t>ATENCIÓN EN ZONA DE RIESGOS Y DESASTRES DE MANERA OPORTUNA EN BENEFICIO DE LA REGIÓN.</t>
  </si>
  <si>
    <t>NUMERO DE INCIDENCIAS DE FENÓMENOS NATURALES</t>
  </si>
  <si>
    <t>INDECI</t>
  </si>
  <si>
    <t>AEI.07.03</t>
  </si>
  <si>
    <t>ZONA SEGURA IDENTIFICADA A FAVOR DE LAS POBLACIONES DE LA REGIÓN DECLARADAS EN ALTO RIESGO NO MITIGABLES</t>
  </si>
  <si>
    <t> POBLACIÓN PRIORITARIAMENTE VULNERABLE</t>
  </si>
  <si>
    <t>INSTITUTO NACIONAL DE ESTADÍSTICA
SD APLICACIÓN ESTADÍSTICA DIPPE INDECI</t>
  </si>
  <si>
    <t>CORRIENTE</t>
  </si>
  <si>
    <t>875- SEDE CENTRAL</t>
  </si>
  <si>
    <t>BANCO DE LA NACIÓN</t>
  </si>
  <si>
    <t>00-201-018749 (00)</t>
  </si>
  <si>
    <t>SOLES</t>
  </si>
  <si>
    <t>00-201-018749 (09)</t>
  </si>
  <si>
    <t>00-201-018749 (19)</t>
  </si>
  <si>
    <t>00-201-018749 (13)</t>
  </si>
  <si>
    <t>00-201-018749 (18)</t>
  </si>
  <si>
    <t>PARTICIPACIONES BOI, FED, DNTP, FONIPREL</t>
  </si>
  <si>
    <t>CANON MINERO Y FORESTAL</t>
  </si>
  <si>
    <t>SALDOS ANTIGUOS (RRDD)</t>
  </si>
  <si>
    <t>FIDEICOMISO REGIONAL</t>
  </si>
  <si>
    <t>PROYECTO DE PRESUPUESTO 2021</t>
  </si>
  <si>
    <t>01 PLIEGO GOBIERNO REGIONAL MADRE DE DIOS</t>
  </si>
  <si>
    <t>001 SECE CENTRAL (875)</t>
  </si>
  <si>
    <t>2 PLIEGO GOBIERNO REGIONAL MADRE DE DIOS</t>
  </si>
  <si>
    <t>002 SUB REGION MANU (1392)</t>
  </si>
  <si>
    <t>3 PLIEGO GOBIERNO REGIONAL MADRE DE DIOS</t>
  </si>
  <si>
    <t>003 PROY. ESP. MADRE DE DIOS (1294)</t>
  </si>
  <si>
    <t>4 PLIEGO GOBIERNO REGIONAL MADRE DE DIOS</t>
  </si>
  <si>
    <t>004 AGRICULTURA (876)</t>
  </si>
  <si>
    <t>5 PLIEGO GOBIERNO REGIONAL MADRE DE DIOS</t>
  </si>
  <si>
    <t>005 TRANSPORTES (877)</t>
  </si>
  <si>
    <t>6 PLIEGO GOBIERNO REGIONAL MADRE DE DIOS</t>
  </si>
  <si>
    <t>006 EDUCACION (878)</t>
  </si>
  <si>
    <t>7 PLIEGO GOBIERNO REGIONAL MADRE DE DIOS</t>
  </si>
  <si>
    <t>007 SALUD (879)</t>
  </si>
  <si>
    <t>8 PLIEGO GOBIERNO REGIONAL MADRE DE DIOS</t>
  </si>
  <si>
    <t>008 HOSPITAL SANTA ROSA PUERTO MALDONADO (1003)</t>
  </si>
  <si>
    <t>9 PLIEGO GOBIERNO REGIONAL MADRE DE DIOS</t>
  </si>
  <si>
    <t>009 REDES DE SALUD PERIFERIFERICAS (1708)</t>
  </si>
  <si>
    <t>0042: Aprovechamiento de los recursos hidricos para uso agrario</t>
  </si>
  <si>
    <t>0046: Acceso y Uso de la Electrificacion Rural</t>
  </si>
  <si>
    <t>0047: Acceso y uso adecuado de los servicios publicos de telecomunicaciones e informacion asociado</t>
  </si>
  <si>
    <t>0051: Prevencion y Tratamiento del Consumo de Drogas</t>
  </si>
  <si>
    <t>0068: Reduccion de Vulnerabilidad y Atencion de Emergencia por Desastre</t>
  </si>
  <si>
    <t>0073: Programa para la generacion del emplepo social inclusivo - trabaja peru</t>
  </si>
  <si>
    <t>0080: Lucha contra la violencia familiar</t>
  </si>
  <si>
    <t>0082: Programa Nacional de Saneamiento Urbano</t>
  </si>
  <si>
    <t>0083: Programa Nacional de Saneamiento Rural</t>
  </si>
  <si>
    <t>0090: Logros de Aprendizaje de Estudiantes de la Educacion Basica Regular</t>
  </si>
  <si>
    <t>0091: Incremento en el acceso de la poblacion de tres a diesiceis años a los servicios educativos publicos de la educacion basica regular</t>
  </si>
  <si>
    <t>0101: Incremento de la practica de actividades fisicas deportivas y recreativas en la poblacion peruana</t>
  </si>
  <si>
    <t>0103: Fortalecimiento de las Condiciones Laborales</t>
  </si>
  <si>
    <t>0104: Reduccion de la Mortalidad por Emergencia y Urgencia Medica</t>
  </si>
  <si>
    <t>0106: Inclusion de Niños, Niñas y Jovenes con Discapcidad en la Educacion Basica y Tecnico Productiivo</t>
  </si>
  <si>
    <t>0107: Mejora de la Formacion en Carreras docentes en Institutos de Educacion no Universitario</t>
  </si>
  <si>
    <t>0116: Mejoramiento de la empleabilidad laboral - Proempleo</t>
  </si>
  <si>
    <t>0121: Mejora de la Articulacion de Pequeños Productores al Mercado</t>
  </si>
  <si>
    <t>0126: Formalizacion minera de pequeña mineria y mineria artesanal</t>
  </si>
  <si>
    <t>0129: Prevencion y manejo de Condiciones secundarias de salud en personas con Discapacidad</t>
  </si>
  <si>
    <t>0130: Competitividad y Aprovechamiento Sostenible de los Recursos Forestales y de la Fauna Silvestre</t>
  </si>
  <si>
    <t>0131: Control y prevencion en Salud mental</t>
  </si>
  <si>
    <t>0138: Reduccion de costo, tiempo e Inseguridad en el Sistema de transporte</t>
  </si>
  <si>
    <t>0140: Desarrollo y promocion de las artes e industrias culturales</t>
  </si>
  <si>
    <t xml:space="preserve">0144: Conservacion y uso sostenible de ecosistemas para Provision de servicios ecosistemicos </t>
  </si>
  <si>
    <t>0150: Incremento en el Acceso de la poblacion a los servicios educativos publicos de la educacion basica</t>
  </si>
  <si>
    <t>1002: Productos especificos para reduccion de la violencia contra la mujer</t>
  </si>
  <si>
    <t>EJECUCION TOTAL S/</t>
  </si>
  <si>
    <t>18 Saneamiento</t>
  </si>
  <si>
    <t>23.11.11</t>
  </si>
  <si>
    <t>23.25.1</t>
  </si>
  <si>
    <t>23.13.1</t>
  </si>
  <si>
    <t>23.1.99</t>
  </si>
  <si>
    <t>23.28.11</t>
  </si>
  <si>
    <t>23.17.11</t>
  </si>
  <si>
    <t>23.19.1</t>
  </si>
  <si>
    <t>23.27.11.99</t>
  </si>
  <si>
    <t>23.21.21</t>
  </si>
  <si>
    <t>23.16.1</t>
  </si>
  <si>
    <t>23.26.3</t>
  </si>
  <si>
    <t>23.1 11. 1</t>
  </si>
  <si>
    <t>23.1 10.1</t>
  </si>
  <si>
    <t>MONTO EJECUTADO</t>
  </si>
  <si>
    <t>MEJORAMIENTO DEL SERVICIO DE AGUA E INSTALACION DEL SERVICIO DE SANEAMIENTO EN LA URBANIZACION MUNICIPAL VILLA TOLEDO - LABERINTO, PROVINCIA DE TAMBOPATA - MADRE DE DIOS</t>
  </si>
  <si>
    <t>LICITACION PUBLICA</t>
  </si>
  <si>
    <t>PRECIOS UNITARIOS</t>
  </si>
  <si>
    <t>LP-SM-4-2018-GOREMAD/CS-1</t>
  </si>
  <si>
    <t xml:space="preserve">20527402078 - INGENIERIA EN LA CONSTRUCCION S.R.L.
20527176124 - L.A. INGENIEROS CONTRATISTAS SOCIEDAD COMERCIAL DE RESPONSABILIDAD LIMITADA
</t>
  </si>
  <si>
    <t>SUSPENSIONPOR LLUVIAS DEL 21/12/2019 A 30/03/2020</t>
  </si>
  <si>
    <t>AMPLIACION DE PLAZO EXTRAORDINARIO Y EJECUCION</t>
  </si>
  <si>
    <t>: MEJORAMIENTO DEL CAMINO DEPARTAMENTAL RUTA MD 100 TRAMO EMP. PE 30C (MAZUKO) - PUERTO MAZUKO, DISTRITO DE INAMBARI, PROVINCIA DE TAMBOPATA, REGION DE MADRE DE DIOS</t>
  </si>
  <si>
    <t>SUMA ALZADA</t>
  </si>
  <si>
    <t>LP-SM-1-2019-DRTC-MDD/CS-1</t>
  </si>
  <si>
    <t>20605654593 Consorcio MAZUKO</t>
  </si>
  <si>
    <t>PROGRAMDO EL INICIO PARA EL 16/03/2020</t>
  </si>
  <si>
    <t>454 GOBIERNO REGIONAL DE MADRE DE DIOS</t>
  </si>
  <si>
    <t>875 SEDE CENTRAL</t>
  </si>
  <si>
    <t>CONGREGACION DE HERMANAS MISIONERAS DOMINICAS DEL ROSARIO</t>
  </si>
  <si>
    <t xml:space="preserve">BIEN PROPIO DE TERCEROS </t>
  </si>
  <si>
    <t>ENERO - DICIEMBRE  (2019)</t>
  </si>
  <si>
    <t>MENSUAL</t>
  </si>
  <si>
    <t>ENERO - JUNIO (2020)</t>
  </si>
  <si>
    <t>PPTO 2019 (AL 31/12)</t>
  </si>
  <si>
    <t>SERVICIO DE CONSULTORIA PARA LA SUPERVICION  - IEI DIVINO NIÑO JESUS LA PASTORA   -  PEDIDO 00085</t>
  </si>
  <si>
    <t>SERVICIO DE CONSULTORIA PARA LA SUPERVICION  - IEI DIVINO NIÑO JESUS LA PASTORA   - PEDIDO 00089</t>
  </si>
  <si>
    <t>CONTRATACIÓN DE SERVICIO DE CONSULTORIA "IDENTIFICACIÓN DE FUENTES DE COOPERACIÓN TÉCNICA Y FINANCIERA PARA PROGRMAS Y PROYECTOS-GERENCIA GENERAL-PEDIDO 00697</t>
  </si>
  <si>
    <t>RECONOCIMIENTO DE DEUDA DEL SERVICIO DE CONSULTORIA DE PROFESIONAL INGENIERO DE MINAS EN EL ÁREA DE FIZCALIZACION DE LA DREMEH - PEDIDO 01132.</t>
  </si>
  <si>
    <t>RECONOCIMIENTO DE DEUDA DEL SERVICIO DE CONSULTORIA DE PROFESIONAL INGENIERO GEOLOGO EN EL ÁREA DE FISCALIZACION DE LA DREMEH - PEDIDO 01137.</t>
  </si>
  <si>
    <t>RECONOCIMIENTO DE DEUDA DEL SERVICIO DE CONSULTORIA DE PROFESIONAL INGENIERO GEOLOGO EN EL ÁREA DE ASUNTOS AMBIENTALES DE LA DREMEH - PEDIDO 01134.</t>
  </si>
  <si>
    <t>RECONOCIMIENTO DE DEUDA DEL SERVICIO DE CONSULTORIA COMO EVALUADOR DEL PROCESO DE FORMALIZACION MINERA DE LA DRREMEH - PEDIDO 00759.</t>
  </si>
  <si>
    <t>SERVICIOS DE CONSULTORIA, PARA LA FORMULACIÓN DEL PLAN REGIONAL MULTISECTORIAL DE LUCHA CONTRA LA ANEMIA DE MDD - PEDIDO 00491.</t>
  </si>
  <si>
    <t>SERVICIO DE CONSULTORIA PARA  ASESORAMIENTO EN EL DESPACHO DE LA GOBERNATURA, PEDIDO DE SERVICIO N° 01834</t>
  </si>
  <si>
    <t>REQUERIMIENTO DE SERVICIO DE CONSULTORIA PARA PRESTACIÓN DE SERVICIO DE TALLER "SISTEMAS DE INFORMACIÓN GEOGRÁFICO. PEDIDO DE SERVICIO N° 02949</t>
  </si>
  <si>
    <t>REQUERIMIENTO DE UNA CONSULTORIA EN ELABORACIÓN DE ESTUDIOS PARA LA EXTRACCIÓN DE NÚCLEOS DE CONCRETO PARA EL PROYECTO. PEDIDO DE SERVICIO N° 02354</t>
  </si>
  <si>
    <t>REQUERIMIENTO DE RECONOCIMIENTO DE DEUDA DEL SERVICIO DE CONSULTORIA COMO EVALUADOR DEL PROCESO DE FORMALIZACION. PEDIDO DE SERVICIO N° 02843</t>
  </si>
  <si>
    <t>SERVICIO DE CONSULTORIA PARA PRESTACIÓN DE SERVICIO DE CAPACITACION EN "SISTEMAS INTEGRADOS DE INFORMACION FORESTAL, PEDIDO DE SERVICIO N° 04429</t>
  </si>
  <si>
    <t>SERVICIO DE UN PERSONAL CONSULTORIA ESPECIALIZADA PARA SUPERVISORES DE LA DIRECCIÓN REGIONAL FORESTAL, PEDIDO DE SERVICIO N° 04564</t>
  </si>
  <si>
    <t>SERVICIO DE UN PERSONAL CONSULTORIA ESPECIALIZADA PARA SUPERVISORES DE LA DIRECCIÓN REGIONAL FORESTAL, PEDIDO DE SERVICIO N° 04557</t>
  </si>
  <si>
    <t>SERVICIO DE UN PERSONAL EN  CONSULTORIA ESPECIALIZADA PARA EL CONTROL Y VIGILANCIA. PEDIDO DE SERVICIO N° 04524</t>
  </si>
  <si>
    <t>SERVICIO DE UN PERSONAL DE CONSULTORIA ESPECIALIZADA PARA EL ENCARGADO. PEDIDO DE SERVICIO N° 04581</t>
  </si>
  <si>
    <t>SERVICIO DE UN PERSONAL CONSULTORIA ESPECIALIZADA PARA SUPERVISORES DE LA DIRECCIÓN REGIONAL FORESTAL, PEDIDO DE SERVICIO N04556</t>
  </si>
  <si>
    <t>SERVICIO DE UN PERSONAL CONSULTORIA ESPECIALIZADA PARA SUPERVISORES DE LA DIRECCIÓN REGIONAL FORESTAL, PEDIDO DE SERVICIO N° 04558</t>
  </si>
  <si>
    <t>SERVICIO DE UN PERSONAL CONSULTORIA ESPECIALIZADA PARA SUPERVISORES DE LA DIRECCIÓN REGIONAL FORESTAL, PEDIDO DE SERVICIO N° 04566</t>
  </si>
  <si>
    <t>SERVICIO DE UN PERSONAL DE CONSULTORIA ESPECIALIZADA PARA SUPERVISORES, PEDIDO DE SERVICIO N° 04531</t>
  </si>
  <si>
    <t>SERVICIO DE UN PERSONAL EN CONSULTORIA ESPECIALIZADA PARA SUPERVISORES DE LA DIRECCIÓN REGIONAL, PEDIDO DE SERVICIO N° 04553</t>
  </si>
  <si>
    <t>SERVICIO DE UN PERSONAL EN CONSULTORIA ESPECIALIZADA PARA SUPERVISORES DE LA DIRECCIÓN REGIONAL, PEDIDO DE SERVICIO N°04554</t>
  </si>
  <si>
    <t>SERVICIO DE UN PERSONAL EN CONSULTORIA ESPECIALIZADA PARA SUPERVISORES DE LA DIRECCIÓN REGIONAL, PEDIDO DE SERVICIO ° 04555</t>
  </si>
  <si>
    <t>SERVICIO DE UN PERSONAL EN  CONSULTORIA ESPECIALIZADA PARA SUPERVISORES DE LA DIRECCIÓN REGIONAL FORESTAL Y DE FAUNA SILVESTRE, PEDIDO DE SERVICIO N° 04552</t>
  </si>
  <si>
    <t>SERVICIO DE CONSULTORIA ESPECIALIZADA PARA EL ENCARGADO DE LA DIRECCION DE CONTROL Y VIGILANCIA, PEDIDO DE SERVICIO N° 04550</t>
  </si>
  <si>
    <t>SERVICIO DE UN PERSONAL EN CONSULTORIA ESPECIALIZADA PARA SUPERVISORES DE LA DIRECCIÓN REGIONAL FORESTAL Y DE FAUNA SILVESTRE, PEDIDO DE SERVICIO N° 04551</t>
  </si>
  <si>
    <t>SERVICIO DE CONSULTORIA PARA "ESTUDIO DE EVALUACIÓN DE RIESGO (EVAR) EN LA CONSTRUCCIÓN DE LAS OFICINAS DE DRFFS, PEDIDO DE SERVICIO N° 04666</t>
  </si>
  <si>
    <t>SERVICIO DE CONSULTORIA PARA ELABORACION DE ESTUDIO HIDROLOGICO, PEDIDO DE SERVICIO N° 04780</t>
  </si>
  <si>
    <t>SERVICIO DE CONSULTORIA PARA CONTRATAR UN ASISTENTE LEGAL PARA EL COMPONENTE DE OTORGAMIENTO DE DERECHOS DE ACCESO A LOS RECURSOS FORESTALES Y DE FAUNA SILVESTRE.</t>
  </si>
  <si>
    <t>COPIA FIEL DEL PEDIDO N°5679 SOLICITO SERVICIO DE CONSULTORIA</t>
  </si>
  <si>
    <t>COPIA FIEL DEL PEDIDO N°5676 SOLICITO SERVICIO DE CONSULTORIA</t>
  </si>
  <si>
    <t>RESOLUCION DIRECTORAL ADMINISTRATIVO N° 489-2019-GOREMAD/ORA; SERVICIO DE UN PERSONAL ESPECIALIZADO E CONSULTORIA PARA EL MAPEO DE LOS CENTROS POBLADOS DEL DEPARTAMENTO DE MADRE DE DIOS.</t>
  </si>
  <si>
    <t>RESOLUCION DIRECTORAL ADMINISTRATIVO N° 489-2019-GOREMAD/ORA; SERVICIO DE UN PERSONAL EN CONSULTORIA ESPECIALIZADA EN ZONIFICACIÓN FORESTAL DE LA DIRECCIÓN REGIONAL FORESTAL Y FAUNA SILVESTRE.</t>
  </si>
  <si>
    <t>SERVICIO DE ESPECIALISTA PARA CONSULTORIA EN PRODUCCION Y TRANSFERENCIA EMBRIONARIA. PEDIDO DE SERVICIO N° 05582</t>
  </si>
  <si>
    <t>SERVICIO DE CONSULTORIA PARA LAREALIZACION DEESTUDIOS TECNICOS PARA LA OBTENCION DEL DERECHO DE USO DEL AREA ACUATICA. PEDIDO DE SERVICIO N° 05625</t>
  </si>
  <si>
    <t>CONSULTORES ASOCIADOS HSZ S.A.C</t>
  </si>
  <si>
    <t>CONSULTORIA PARA LA ELABORACIÓN DE LA PROPUESTA PARA ACTIVAR EL ECOSISTEMA - OCTI - PEDIDO DE SERVICIO N°02752</t>
  </si>
  <si>
    <t>SERVICIO DE CONSULTORIA TÉCNICA PARA LA REVISIÓN DE PLANES DE NEGOCIO-GRDE-PEDIDO DE SERVICIO N°02766</t>
  </si>
  <si>
    <t xml:space="preserve">SERVICIO DE UN PERSONAL CONSULTORIA ESPECIALIZADA PARA SUPERVISORES - GRFFS - </t>
  </si>
  <si>
    <t xml:space="preserve">SERVICIO DE CONSULTORIA Y ASESORIA PARA REALIZAR TRABAJOS - SCR </t>
  </si>
  <si>
    <t xml:space="preserve">SERVICIO DE CONSULTORIA PARA EL CONSEJO REGIONA (RECONOCIMIENTO DE DEUDA) - SCR - </t>
  </si>
  <si>
    <t xml:space="preserve">SERVICIO DE CONSULTORIA PARA IMPLEMENTACION DE LA LEY SERVIR - ORA-OP - </t>
  </si>
  <si>
    <t xml:space="preserve">SERVICIO DE CONSULTORIA PARA LA ELABORACION DE INSTRUMENTO DE GESTION AMBIENTAL - SGEI - </t>
  </si>
  <si>
    <t xml:space="preserve">SERVICIO DE CONSULTORIA PARA ELABORAR EL ROF  - DIRCETUR - </t>
  </si>
  <si>
    <t xml:space="preserve">SERVICIO DE CONSULTORIA DE ELABORACIÓN DE EXPEDIENTE TÉCNICO - GRRNYGMA </t>
  </si>
  <si>
    <t>REQUERIMIENTO SERVICIO DE CONSULTORIA PARA ELABORACION DE LA PARTE ECONOMICA PARA  AFEP -</t>
  </si>
  <si>
    <t xml:space="preserve">SERVICIO DE CONSULTORIA, EN GESTIÓN DEL RIESGO DE DESASTRE- ODNYDC - </t>
  </si>
  <si>
    <t>ADQUISICION DE ACERO CORRUGADO, PARA LA OBRA: MEJORAMIENTO DE LOS SERVICIOS DE EDUCACION PRIMARIA EN LA I.E. N 52114 Y SECUNDARIA EN LA I.E.B.R. ALTO LIBERTAD DEL CENTRO POBLADO ALTO LIBERTAD, DISTRITO INAMBARI, PRROVINCIA DE TAMBOPATA, MADRE DE DIOS.</t>
  </si>
  <si>
    <t>SUBASTA INVERSA ELECTRONICA</t>
  </si>
  <si>
    <t>SIN MODALIDAD</t>
  </si>
  <si>
    <t>12-2020</t>
  </si>
  <si>
    <t>359.000,00</t>
  </si>
  <si>
    <t>20511037001- SANTA FE S.A.C.</t>
  </si>
  <si>
    <t>NINGUNA</t>
  </si>
  <si>
    <t>ADQUISICION DE CEMENTO PORTLAND PUZOLANICO TIPO IP X 42.5 kg, PARA LA OBRA: MEJORAMIENTO VIAL Y DRENAJE PLUVIAL DEL JIRON JAIME TRONCOSO DE LA CIUDAD DE PUERTO MALDONADO, PROVINCIA DE TAMBOPATA, MADRE DE DIOS</t>
  </si>
  <si>
    <t>2-2020</t>
  </si>
  <si>
    <t>ADQUISICION DE FIBRA DE ACERO PARA REFUERZO DE CONCRETO, PARA LA OBRA: MEJORAMIENTO VIAL Y DRENAJE PLUVIAL DEL JIRON JAIME TRONCOSO DE LA CIUDAD DE PUERTO MALDONADO, PROVINCIA DE TAMBOPATA, MADRE DE DIOS</t>
  </si>
  <si>
    <t>ADJUDICACION SIMPLIFICADA</t>
  </si>
  <si>
    <t>1-2020</t>
  </si>
  <si>
    <t>20527761396 - COMERCIAL ARIANA E.I.R.L</t>
  </si>
  <si>
    <t>ADQUISICION DE CEMENTO PORTLAND TIPO IP (42.5KG), PARA LA OBRA: MEJORAMIENTO Y AMPLIACION DEL SERVICIO EDUCATIVO EN LOS NIVELES DE PRIMARIA Y SECUNDARIA DE LA I.E.B.R. N 52194 CAP. PNP. ALIPIO PONCE VASQUE, DISTRITO DE TAMBOPATA, PROVINCIA DE TAMBOPATA, REGION DE MADRE DE DIOS</t>
  </si>
  <si>
    <t>16-2020</t>
  </si>
  <si>
    <t>ADQUISICION DE PIEDRA CHANCADA DE 1/2, PARA EL PLAN DE CONTINGENCIA: MEJORAMIENTO DEL SERVICIO INSTITUCIONAL DE LA SEDE CENTRAL Y DIRECCIONES REGIONALES DEL GOBIERNO REGIONAL DE MADRE DE DIOS DISTRITO Y PROVINCIA DE TAMBOPATA, REGION MADRE DE DIOS.</t>
  </si>
  <si>
    <t>20490130510- INVERSIONES CORPORATIVAS MELQUI SAC</t>
  </si>
  <si>
    <t>ADQUISICION DE CEMENTO PORTLAND PUZOLANICO TIPO IP X 42.5 KG, PARA EL PLAN DE CONTINGENCIA: MEJORAMIENTO DEL SERVICIO INSTITUCIONAL DE LA SEDE CENTRAL Y DIRECCIONES REGIONALES DEL GOBIERNO REGIONAL DE MADRE DE DIOS DISTRITO Y PROVINCIA DE TAMBOPATA, REGION MADRE DE DIOS.</t>
  </si>
  <si>
    <t>15-2020</t>
  </si>
  <si>
    <t>20491183927- FERRETERIA INTEROCEANICA E.I.R.L.</t>
  </si>
  <si>
    <t>ADQUISICION CEMENTO PORTLAND PUZOLANICO TIPO IP X 42.5 kg, PARA LA OBRA: MEJORAMIENTO VIAL DE LA AV. ALAMEDA DE LA CULTURA DE LA CIUDAD DE PUERTO MALDONADO, DISTRITO Y PROVINCIA DE TAMBOPATA, REGION MADRE DE DIOS</t>
  </si>
  <si>
    <t>6-2020</t>
  </si>
  <si>
    <t>ENTREGAS PARCIALES</t>
  </si>
  <si>
    <t>ADQUISICION DE CONCRETO PRE MEZCLADO FC 280 KG/CM2, PARA LA OBRA: MEJORAMIENTO VIAL DE LA AV. ALAMEDA DE LA CULTURA DE LA CIUDAD DE PUERTO MALDONADO, DISTRITO Y PROVINCIA DE TAMBOPATA, REGION MADRE DE DIOS</t>
  </si>
  <si>
    <t>21-2020</t>
  </si>
  <si>
    <t>20563965861 - IMAQ SAC</t>
  </si>
  <si>
    <t>ADQUISICION DE VARILLA DE FIERRO CORRUGADO, PARA LA OBRA: MEJORAMIENTO VIAL DE LA AV. ALAMEDA DE LA CULTURA DE LA CIUDAD DE PUERTO MALDONADO, DISTRITO Y PROVINCIA DE TAMBOPATA, REGION MADRE DE DIOS</t>
  </si>
  <si>
    <t>11-2020</t>
  </si>
  <si>
    <t>ADQUISICION DE AGREGADOS, PARA LA OBRA: MEJORAMIENTO VIAL DE LA AV. ALAMEDA DE LA CULTURA DE LA CIUDAD DE PUERTO MALDONADO, DISTRITO Y PROVINCIA DE TAMBOPATA, REGION MADRE DE DIOS</t>
  </si>
  <si>
    <t>7-2020</t>
  </si>
  <si>
    <t>20602061664 - CASTOR CONSTRUCCION Y LOGISTICA EMPRESA INDIVIDUAL DE RESPONSABILIDAD LIMITADA</t>
  </si>
  <si>
    <t>ADQUISICION DE CEMENTO PORTLAND TIPO IP X 42.5 KG, PARA LA OBRA: MEJORAMIENTO DEL SERVICIO EDUCATIVO DEL NIVEL SECUNDARIO EN LA IE 52070 EN EL CENTRO POBLADO DE DOS DE MAYO, DISTRITO DE INAMBARI, PROVINCIA DE TAMBOPATA, REGION DE MADRE DE DIOS. META 18</t>
  </si>
  <si>
    <t>17-2020</t>
  </si>
  <si>
    <t>ADQUISICION DE BIENES NO PERECIBLES, ACTIVIDAD: ADMINISTRACION Y ALMACENAMIENTO DE KITS PARA LA ASISTENCIA FRENTE A EMERGENCIAS Y DESASTRES OFICINA DE DEFENSA NACIONAL Y DEFENSA CIVIL. META 007</t>
  </si>
  <si>
    <t>CONTRATACION DIRECTA</t>
  </si>
  <si>
    <t>20490765507- MINIMARKET SAN JUAN EIRL</t>
  </si>
  <si>
    <t>SERVICIO DE ALOJAMIENTO PARA 89 PERSONAS QUE RETORNARON DE LA CIUDAD DE LIMA A LA CIUDAD DE PUERTO MALDONADO POR LA PROPAGACION DEL (COVID-19) PARA ELCUMPLIMIENTO DE LA CUARENTENA OBLIGATORIA</t>
  </si>
  <si>
    <t>3-2020</t>
  </si>
  <si>
    <t>20542858410 - INVERSIONES PEREZ ALENCART SAC</t>
  </si>
  <si>
    <t>CAUSAL DE EMERGENCIA</t>
  </si>
  <si>
    <t>SERVICIO DE ALIMENTACION PARA 89 PERSONAS QUE RETORNARON DE LA CIUDAD DE LIMA A LA CIUDAD  DE PUERTO MALDONADO POR LA PROPAGACION DEL (COVID-19)  PARA ELCUMPLIMIENTO DE LA CUARENTENA OBLIGATORIA</t>
  </si>
  <si>
    <t>4-2020</t>
  </si>
  <si>
    <t>10072230642 - PEREZ ALENCART MILUSKA ROSANA</t>
  </si>
  <si>
    <t>SERVICIO DE ALIMENTACION PARA 87 PERSONAS QUE RETORNARON DE LA CIUDAD DE CUSCO A LA CIUDAD  DE PUERTO MALDONADO POR LA PROPAGACION DEL (COVID-19)  PARA ELCUMPLIMIENTO DE LA CUARENTENA OBLIGATORIO</t>
  </si>
  <si>
    <t>5-2020</t>
  </si>
  <si>
    <t>SERVICIO DE ALJAMIENTO PARA 87 PERSONAS QUE RETORNARON DE LA CIUDAD DE CUSCO A LA CIUDAD DE PUERTO MALDONADO POR LA PROPAGACION DEL (COVID-19) PARA ELCUMPLIMIENTO DE LA CUARENTENA OBLIGATORIO</t>
  </si>
  <si>
    <t>F-7</t>
  </si>
  <si>
    <t>F-6</t>
  </si>
  <si>
    <t>F-5</t>
  </si>
  <si>
    <t>F-4</t>
  </si>
  <si>
    <t>F-3</t>
  </si>
  <si>
    <t>F-2</t>
  </si>
  <si>
    <t>SPB</t>
  </si>
  <si>
    <t>SPC</t>
  </si>
  <si>
    <t>SPD</t>
  </si>
  <si>
    <t>STB</t>
  </si>
  <si>
    <t>STC</t>
  </si>
  <si>
    <t>STD</t>
  </si>
  <si>
    <t>STF</t>
  </si>
  <si>
    <t>SAB</t>
  </si>
  <si>
    <t>SAC</t>
  </si>
  <si>
    <t>SAD</t>
  </si>
  <si>
    <t>Decreto Legislativo 1057 (CAS)</t>
  </si>
  <si>
    <t>Practicantes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</si>
</sst>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_ * #,##0.00_ ;_ * \-#,##0.00_ ;_ * &quot;-&quot;??_ ;_ @_ "/>
    <numFmt numFmtId="165" formatCode="[$-280A]d&quot; de &quot;mmmm&quot; de &quot;yyyy;@"/>
    <numFmt numFmtId="166" formatCode="dd/mm/yyyy;@"/>
    <numFmt numFmtId="167" formatCode="&quot;S/&quot;\ #,##0.00"/>
    <numFmt numFmtId="168" formatCode="&quot;S/.&quot;#,##0.00"/>
  </numFmts>
  <fonts count="41" x14ac:knownFonts="1">
    <font>
      <sz val="10"/>
      <name val="Arial"/>
    </font>
    <font>
      <sz val="10"/>
      <name val="Arial"/>
      <family val="2"/>
    </font>
    <font>
      <sz val="8"/>
      <name val="Arial"/>
      <family val="2"/>
    </font>
    <font>
      <b/>
      <sz val="10"/>
      <name val="Arial"/>
      <family val="2"/>
    </font>
    <font>
      <sz val="10"/>
      <name val="Arial Narrow"/>
      <family val="2"/>
    </font>
    <font>
      <sz val="10"/>
      <name val="Arial"/>
      <family val="2"/>
    </font>
    <font>
      <b/>
      <sz val="8"/>
      <name val="Arial"/>
      <family val="2"/>
    </font>
    <font>
      <sz val="10"/>
      <name val="Courier"/>
      <family val="3"/>
    </font>
    <font>
      <b/>
      <sz val="12"/>
      <name val="Arial"/>
      <family val="2"/>
    </font>
    <font>
      <sz val="9"/>
      <name val="Arial"/>
      <family val="2"/>
    </font>
    <font>
      <b/>
      <sz val="9"/>
      <name val="Arial"/>
      <family val="2"/>
    </font>
    <font>
      <sz val="8"/>
      <name val="Arial"/>
      <family val="2"/>
    </font>
    <font>
      <b/>
      <sz val="9"/>
      <color indexed="8"/>
      <name val="Arial"/>
      <family val="2"/>
    </font>
    <font>
      <sz val="9"/>
      <color indexed="32"/>
      <name val="Arial"/>
      <family val="2"/>
    </font>
    <font>
      <sz val="9"/>
      <color indexed="8"/>
      <name val="Arial"/>
      <family val="2"/>
    </font>
    <font>
      <sz val="12"/>
      <name val="Arial"/>
      <family val="2"/>
    </font>
    <font>
      <sz val="8"/>
      <name val="Calibri"/>
      <family val="2"/>
      <scheme val="minor"/>
    </font>
    <font>
      <b/>
      <sz val="8"/>
      <name val="Calibri"/>
      <family val="2"/>
      <scheme val="minor"/>
    </font>
    <font>
      <b/>
      <u/>
      <sz val="8"/>
      <name val="Arial"/>
      <family val="2"/>
    </font>
    <font>
      <sz val="10"/>
      <name val="Arial"/>
      <family val="2"/>
    </font>
    <font>
      <b/>
      <sz val="8"/>
      <color rgb="FFFF0000"/>
      <name val="Arial"/>
      <family val="2"/>
    </font>
    <font>
      <b/>
      <sz val="11"/>
      <color rgb="FF000000"/>
      <name val="Agency FB"/>
      <family val="2"/>
    </font>
    <font>
      <b/>
      <sz val="9"/>
      <color theme="1"/>
      <name val="Agency FB"/>
      <family val="2"/>
    </font>
    <font>
      <b/>
      <sz val="9"/>
      <color rgb="FF000000"/>
      <name val="Arial Narrow"/>
      <family val="2"/>
    </font>
    <font>
      <sz val="8"/>
      <color rgb="FF000000"/>
      <name val="Arial Narrow"/>
      <family val="2"/>
    </font>
    <font>
      <sz val="8"/>
      <color theme="1"/>
      <name val="Arial Narrow"/>
      <family val="2"/>
    </font>
    <font>
      <b/>
      <sz val="11"/>
      <color rgb="FF000000"/>
      <name val="Arial Narrow"/>
      <family val="2"/>
    </font>
    <font>
      <b/>
      <sz val="10"/>
      <color theme="1"/>
      <name val="Arial Narrow"/>
      <family val="2"/>
    </font>
    <font>
      <sz val="9"/>
      <color rgb="FF000000"/>
      <name val="Arial Narrow"/>
      <family val="2"/>
    </font>
    <font>
      <sz val="7"/>
      <color rgb="FF000000"/>
      <name val="Arial Narrow"/>
      <family val="2"/>
    </font>
    <font>
      <b/>
      <sz val="20"/>
      <name val="Arial"/>
      <family val="2"/>
    </font>
    <font>
      <sz val="9"/>
      <name val="Calibri"/>
      <family val="2"/>
      <scheme val="minor"/>
    </font>
    <font>
      <b/>
      <sz val="9"/>
      <name val="Calibri"/>
      <family val="2"/>
      <scheme val="minor"/>
    </font>
    <font>
      <sz val="6"/>
      <name val="Arial"/>
      <family val="2"/>
    </font>
    <font>
      <b/>
      <sz val="6"/>
      <name val="Arial"/>
      <family val="2"/>
    </font>
    <font>
      <sz val="6"/>
      <name val="Calibri"/>
      <family val="2"/>
      <scheme val="minor"/>
    </font>
    <font>
      <sz val="8"/>
      <color rgb="FF000000"/>
      <name val="Arial"/>
      <family val="2"/>
    </font>
    <font>
      <sz val="10"/>
      <color rgb="FF000000"/>
      <name val="Arial"/>
      <family val="2"/>
    </font>
    <font>
      <sz val="11"/>
      <color theme="1"/>
      <name val="Arial"/>
      <family val="2"/>
    </font>
    <font>
      <sz val="7"/>
      <name val="Calibri"/>
      <family val="2"/>
      <scheme val="minor"/>
    </font>
    <font>
      <sz val="9"/>
      <color rgb="FFFF0000"/>
      <name val="Arial"/>
      <family val="2"/>
    </font>
  </fonts>
  <fills count="12">
    <fill>
      <patternFill patternType="none"/>
    </fill>
    <fill>
      <patternFill patternType="gray125"/>
    </fill>
    <fill>
      <patternFill patternType="solid">
        <fgColor indexed="22"/>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
      <patternFill patternType="solid">
        <fgColor theme="3" tint="0.79998168889431442"/>
        <bgColor indexed="64"/>
      </patternFill>
    </fill>
    <fill>
      <patternFill patternType="solid">
        <fgColor theme="9" tint="-0.249977111117893"/>
        <bgColor indexed="64"/>
      </patternFill>
    </fill>
    <fill>
      <patternFill patternType="solid">
        <fgColor theme="9"/>
        <bgColor indexed="64"/>
      </patternFill>
    </fill>
    <fill>
      <patternFill patternType="solid">
        <fgColor rgb="FFBFBFBF"/>
        <bgColor indexed="64"/>
      </patternFill>
    </fill>
    <fill>
      <patternFill patternType="solid">
        <fgColor rgb="FFFFFF00"/>
        <bgColor indexed="64"/>
      </patternFill>
    </fill>
    <fill>
      <patternFill patternType="solid">
        <fgColor theme="7" tint="0.39997558519241921"/>
        <bgColor indexed="64"/>
      </patternFill>
    </fill>
  </fills>
  <borders count="82">
    <border>
      <left/>
      <right/>
      <top/>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style="thin">
        <color indexed="64"/>
      </right>
      <top/>
      <bottom/>
      <diagonal/>
    </border>
    <border>
      <left style="medium">
        <color indexed="64"/>
      </left>
      <right style="medium">
        <color indexed="64"/>
      </right>
      <top/>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medium">
        <color indexed="64"/>
      </right>
      <top style="thin">
        <color indexed="64"/>
      </top>
      <bottom style="thin">
        <color indexed="64"/>
      </bottom>
      <diagonal/>
    </border>
    <border>
      <left/>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bottom/>
      <diagonal/>
    </border>
    <border>
      <left style="thin">
        <color indexed="64"/>
      </left>
      <right style="medium">
        <color indexed="64"/>
      </right>
      <top/>
      <bottom/>
      <diagonal/>
    </border>
    <border>
      <left style="medium">
        <color indexed="64"/>
      </left>
      <right style="thin">
        <color indexed="64"/>
      </right>
      <top/>
      <bottom/>
      <diagonal/>
    </border>
    <border>
      <left style="thin">
        <color indexed="64"/>
      </left>
      <right/>
      <top/>
      <bottom style="medium">
        <color indexed="64"/>
      </bottom>
      <diagonal/>
    </border>
    <border>
      <left/>
      <right style="medium">
        <color indexed="64"/>
      </right>
      <top/>
      <bottom style="thin">
        <color indexed="64"/>
      </bottom>
      <diagonal/>
    </border>
    <border>
      <left style="medium">
        <color indexed="64"/>
      </left>
      <right style="thin">
        <color indexed="64"/>
      </right>
      <top style="medium">
        <color indexed="64"/>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bottom style="thin">
        <color indexed="64"/>
      </bottom>
      <diagonal/>
    </border>
    <border>
      <left/>
      <right style="medium">
        <color indexed="64"/>
      </right>
      <top/>
      <bottom style="thick">
        <color indexed="64"/>
      </bottom>
      <diagonal/>
    </border>
    <border>
      <left style="medium">
        <color indexed="64"/>
      </left>
      <right style="thin">
        <color indexed="64"/>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medium">
        <color indexed="64"/>
      </right>
      <top/>
      <bottom style="thick">
        <color indexed="64"/>
      </bottom>
      <diagonal/>
    </border>
    <border>
      <left style="thin">
        <color indexed="64"/>
      </left>
      <right style="thin">
        <color indexed="64"/>
      </right>
      <top/>
      <bottom style="thick">
        <color indexed="64"/>
      </bottom>
      <diagonal/>
    </border>
    <border>
      <left/>
      <right/>
      <top style="thin">
        <color indexed="64"/>
      </top>
      <bottom style="thin">
        <color indexed="64"/>
      </bottom>
      <diagonal/>
    </border>
    <border>
      <left/>
      <right/>
      <top style="thin">
        <color indexed="64"/>
      </top>
      <bottom/>
      <diagonal/>
    </border>
    <border>
      <left style="medium">
        <color indexed="64"/>
      </left>
      <right/>
      <top style="thin">
        <color indexed="64"/>
      </top>
      <bottom/>
      <diagonal/>
    </border>
    <border>
      <left style="thin">
        <color indexed="64"/>
      </left>
      <right style="thin">
        <color rgb="FF000000"/>
      </right>
      <top style="medium">
        <color indexed="64"/>
      </top>
      <bottom/>
      <diagonal/>
    </border>
    <border>
      <left style="thin">
        <color rgb="FF000000"/>
      </left>
      <right style="thin">
        <color rgb="FF000000"/>
      </right>
      <top style="thin">
        <color rgb="FF000000"/>
      </top>
      <bottom style="thin">
        <color rgb="FF000000"/>
      </bottom>
      <diagonal/>
    </border>
  </borders>
  <cellStyleXfs count="9">
    <xf numFmtId="0" fontId="0" fillId="0" borderId="0"/>
    <xf numFmtId="0" fontId="4" fillId="0" borderId="0"/>
    <xf numFmtId="0" fontId="4" fillId="0" borderId="0"/>
    <xf numFmtId="49" fontId="7" fillId="0" borderId="0"/>
    <xf numFmtId="0" fontId="1" fillId="0" borderId="0"/>
    <xf numFmtId="164" fontId="19"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cellStyleXfs>
  <cellXfs count="663">
    <xf numFmtId="0" fontId="0" fillId="0" borderId="0" xfId="0"/>
    <xf numFmtId="0" fontId="9" fillId="0" borderId="0" xfId="2" applyFont="1" applyAlignment="1">
      <alignment horizontal="left" vertical="center"/>
    </xf>
    <xf numFmtId="0" fontId="10" fillId="0" borderId="0" xfId="2" applyFont="1" applyAlignment="1">
      <alignment vertical="center"/>
    </xf>
    <xf numFmtId="0" fontId="9" fillId="0" borderId="0" xfId="0" applyFont="1"/>
    <xf numFmtId="0" fontId="9" fillId="0" borderId="8" xfId="0" applyFont="1" applyBorder="1"/>
    <xf numFmtId="0" fontId="10" fillId="0" borderId="0" xfId="0" applyFont="1"/>
    <xf numFmtId="49" fontId="9" fillId="0" borderId="0" xfId="3" applyFont="1" applyAlignment="1">
      <alignment vertical="center"/>
    </xf>
    <xf numFmtId="0" fontId="9" fillId="0" borderId="13" xfId="0" applyFont="1" applyBorder="1"/>
    <xf numFmtId="0" fontId="9" fillId="0" borderId="45" xfId="0" applyFont="1" applyBorder="1"/>
    <xf numFmtId="0" fontId="9" fillId="0" borderId="46" xfId="0" applyFont="1" applyBorder="1"/>
    <xf numFmtId="0" fontId="9" fillId="0" borderId="14" xfId="0" applyFont="1" applyBorder="1"/>
    <xf numFmtId="0" fontId="9" fillId="0" borderId="4" xfId="0" applyFont="1" applyBorder="1"/>
    <xf numFmtId="0" fontId="9" fillId="0" borderId="20" xfId="0" applyFont="1" applyBorder="1"/>
    <xf numFmtId="0" fontId="9" fillId="0" borderId="5" xfId="0" applyFont="1" applyBorder="1"/>
    <xf numFmtId="0" fontId="9" fillId="0" borderId="18" xfId="0" applyFont="1" applyBorder="1"/>
    <xf numFmtId="49" fontId="13" fillId="0" borderId="0" xfId="1" quotePrefix="1" applyNumberFormat="1" applyFont="1" applyAlignment="1">
      <alignment horizontal="left" vertical="center"/>
    </xf>
    <xf numFmtId="49" fontId="9" fillId="0" borderId="0" xfId="1" applyNumberFormat="1" applyFont="1" applyAlignment="1">
      <alignment horizontal="left" vertical="center"/>
    </xf>
    <xf numFmtId="0" fontId="9" fillId="0" borderId="50" xfId="0" applyFont="1" applyBorder="1"/>
    <xf numFmtId="0" fontId="9" fillId="0" borderId="21" xfId="0" applyFont="1" applyBorder="1"/>
    <xf numFmtId="0" fontId="9" fillId="0" borderId="51" xfId="0" applyFont="1" applyBorder="1"/>
    <xf numFmtId="0" fontId="9" fillId="0" borderId="54" xfId="0" applyFont="1" applyBorder="1"/>
    <xf numFmtId="0" fontId="9" fillId="0" borderId="0" xfId="2" applyFont="1" applyAlignment="1">
      <alignment vertical="center"/>
    </xf>
    <xf numFmtId="0" fontId="10" fillId="0" borderId="0" xfId="2" applyFont="1" applyAlignment="1">
      <alignment horizontal="center" vertical="center"/>
    </xf>
    <xf numFmtId="0" fontId="10" fillId="2" borderId="18" xfId="2" applyFont="1" applyFill="1" applyBorder="1" applyAlignment="1">
      <alignment horizontal="center" vertical="center"/>
    </xf>
    <xf numFmtId="0" fontId="9" fillId="0" borderId="14" xfId="2" applyFont="1" applyBorder="1" applyAlignment="1">
      <alignment horizontal="center" vertical="center"/>
    </xf>
    <xf numFmtId="0" fontId="10" fillId="2" borderId="14" xfId="2" applyFont="1" applyFill="1" applyBorder="1" applyAlignment="1">
      <alignment horizontal="center" vertical="center"/>
    </xf>
    <xf numFmtId="0" fontId="10" fillId="2" borderId="0" xfId="2" applyFont="1" applyFill="1" applyAlignment="1">
      <alignment vertical="center"/>
    </xf>
    <xf numFmtId="0" fontId="10" fillId="2" borderId="4" xfId="2" applyFont="1" applyFill="1" applyBorder="1" applyAlignment="1">
      <alignment vertical="center"/>
    </xf>
    <xf numFmtId="0" fontId="9" fillId="0" borderId="13" xfId="2" applyFont="1" applyBorder="1" applyAlignment="1">
      <alignment vertical="center"/>
    </xf>
    <xf numFmtId="0" fontId="9" fillId="0" borderId="4" xfId="2" applyFont="1" applyBorder="1" applyAlignment="1">
      <alignment vertical="center"/>
    </xf>
    <xf numFmtId="0" fontId="9" fillId="0" borderId="57" xfId="2" applyFont="1" applyBorder="1" applyAlignment="1">
      <alignment vertical="center"/>
    </xf>
    <xf numFmtId="0" fontId="10" fillId="2" borderId="5" xfId="2" applyFont="1" applyFill="1" applyBorder="1" applyAlignment="1">
      <alignment horizontal="center" vertical="center"/>
    </xf>
    <xf numFmtId="0" fontId="10" fillId="2" borderId="43" xfId="2" applyFont="1" applyFill="1" applyBorder="1" applyAlignment="1">
      <alignment vertical="center"/>
    </xf>
    <xf numFmtId="0" fontId="10" fillId="2" borderId="17" xfId="2" applyFont="1" applyFill="1" applyBorder="1" applyAlignment="1">
      <alignment vertical="center"/>
    </xf>
    <xf numFmtId="0" fontId="10" fillId="2" borderId="19" xfId="2" applyFont="1" applyFill="1" applyBorder="1" applyAlignment="1">
      <alignment vertical="center"/>
    </xf>
    <xf numFmtId="0" fontId="10" fillId="2" borderId="20" xfId="2" applyFont="1" applyFill="1" applyBorder="1" applyAlignment="1">
      <alignment vertical="center"/>
    </xf>
    <xf numFmtId="0" fontId="10" fillId="2" borderId="18" xfId="2" applyFont="1" applyFill="1" applyBorder="1" applyAlignment="1">
      <alignment vertical="center"/>
    </xf>
    <xf numFmtId="0" fontId="10" fillId="2" borderId="44" xfId="2" applyFont="1" applyFill="1" applyBorder="1" applyAlignment="1">
      <alignment vertical="center"/>
    </xf>
    <xf numFmtId="0" fontId="9" fillId="0" borderId="14" xfId="2" applyFont="1" applyBorder="1" applyAlignment="1">
      <alignment vertical="center"/>
    </xf>
    <xf numFmtId="0" fontId="10" fillId="2" borderId="5" xfId="2" applyFont="1" applyFill="1" applyBorder="1" applyAlignment="1">
      <alignment vertical="center"/>
    </xf>
    <xf numFmtId="0" fontId="9" fillId="0" borderId="14" xfId="2" applyFont="1" applyBorder="1" applyAlignment="1">
      <alignment horizontal="left" vertical="center"/>
    </xf>
    <xf numFmtId="0" fontId="9" fillId="0" borderId="12" xfId="0" applyFont="1" applyBorder="1"/>
    <xf numFmtId="0" fontId="9" fillId="0" borderId="11" xfId="0" applyFont="1" applyBorder="1"/>
    <xf numFmtId="0" fontId="10" fillId="2" borderId="7" xfId="2" applyFont="1" applyFill="1" applyBorder="1" applyAlignment="1">
      <alignment horizontal="center" vertical="center"/>
    </xf>
    <xf numFmtId="0" fontId="10" fillId="2" borderId="21" xfId="2" applyFont="1" applyFill="1" applyBorder="1" applyAlignment="1">
      <alignment horizontal="center" vertical="center"/>
    </xf>
    <xf numFmtId="0" fontId="9" fillId="0" borderId="58" xfId="0" applyFont="1" applyBorder="1"/>
    <xf numFmtId="0" fontId="9" fillId="0" borderId="22" xfId="0" applyFont="1" applyBorder="1"/>
    <xf numFmtId="0" fontId="9" fillId="0" borderId="60" xfId="0" applyFont="1" applyBorder="1"/>
    <xf numFmtId="0" fontId="9" fillId="0" borderId="9" xfId="0" applyFont="1" applyBorder="1"/>
    <xf numFmtId="0" fontId="9" fillId="0" borderId="16" xfId="0" applyFont="1" applyBorder="1"/>
    <xf numFmtId="165" fontId="9" fillId="0" borderId="0" xfId="0" applyNumberFormat="1" applyFont="1"/>
    <xf numFmtId="0" fontId="9" fillId="0" borderId="15" xfId="0" applyFont="1" applyBorder="1"/>
    <xf numFmtId="0" fontId="10" fillId="0" borderId="26" xfId="2" applyFont="1" applyBorder="1" applyAlignment="1">
      <alignment vertical="center"/>
    </xf>
    <xf numFmtId="0" fontId="10" fillId="0" borderId="29" xfId="2" applyFont="1" applyBorder="1" applyAlignment="1">
      <alignment vertical="center"/>
    </xf>
    <xf numFmtId="0" fontId="9" fillId="0" borderId="57" xfId="0" applyFont="1" applyBorder="1"/>
    <xf numFmtId="0" fontId="10" fillId="2" borderId="8" xfId="2" applyFont="1" applyFill="1" applyBorder="1" applyAlignment="1">
      <alignment horizontal="center" vertical="center"/>
    </xf>
    <xf numFmtId="0" fontId="10" fillId="0" borderId="63" xfId="2" applyFont="1" applyBorder="1" applyAlignment="1">
      <alignment vertical="center"/>
    </xf>
    <xf numFmtId="0" fontId="9" fillId="0" borderId="8" xfId="2" applyFont="1" applyBorder="1" applyAlignment="1">
      <alignment horizontal="center" vertical="center"/>
    </xf>
    <xf numFmtId="0" fontId="10" fillId="2" borderId="4" xfId="2" applyFont="1" applyFill="1" applyBorder="1" applyAlignment="1">
      <alignment horizontal="center" vertical="center"/>
    </xf>
    <xf numFmtId="0" fontId="10" fillId="0" borderId="27" xfId="2" applyFont="1" applyBorder="1" applyAlignment="1">
      <alignment vertical="center"/>
    </xf>
    <xf numFmtId="0" fontId="10" fillId="0" borderId="11" xfId="2" applyFont="1" applyBorder="1" applyAlignment="1">
      <alignment horizontal="left" vertical="center"/>
    </xf>
    <xf numFmtId="0" fontId="9" fillId="0" borderId="0" xfId="0" applyFont="1" applyAlignment="1">
      <alignment wrapText="1"/>
    </xf>
    <xf numFmtId="0" fontId="9" fillId="0" borderId="61" xfId="0" applyFont="1" applyBorder="1"/>
    <xf numFmtId="0" fontId="10" fillId="0" borderId="43" xfId="0" applyFont="1" applyBorder="1" applyAlignment="1">
      <alignment horizontal="center"/>
    </xf>
    <xf numFmtId="0" fontId="9" fillId="0" borderId="0" xfId="0" applyFont="1" applyAlignment="1">
      <alignment horizontal="center" wrapText="1"/>
    </xf>
    <xf numFmtId="0" fontId="10" fillId="0" borderId="15" xfId="0" applyFont="1" applyBorder="1" applyAlignment="1">
      <alignment horizontal="center"/>
    </xf>
    <xf numFmtId="0" fontId="9" fillId="0" borderId="52" xfId="0" applyFont="1" applyBorder="1"/>
    <xf numFmtId="0" fontId="10" fillId="0" borderId="0" xfId="0" applyFont="1" applyAlignment="1">
      <alignment horizontal="center" textRotation="90" wrapText="1"/>
    </xf>
    <xf numFmtId="0" fontId="2" fillId="0" borderId="0" xfId="0" applyFont="1"/>
    <xf numFmtId="0" fontId="2" fillId="0" borderId="0" xfId="0" applyFont="1" applyAlignment="1">
      <alignment wrapText="1"/>
    </xf>
    <xf numFmtId="0" fontId="9" fillId="0" borderId="10" xfId="0" applyFont="1" applyBorder="1"/>
    <xf numFmtId="0" fontId="10" fillId="0" borderId="11" xfId="0" applyFont="1" applyBorder="1" applyAlignment="1">
      <alignment horizontal="center"/>
    </xf>
    <xf numFmtId="0" fontId="10" fillId="2" borderId="19" xfId="2" applyFont="1" applyFill="1" applyBorder="1" applyAlignment="1">
      <alignment horizontal="center" vertical="center"/>
    </xf>
    <xf numFmtId="0" fontId="10" fillId="2" borderId="20" xfId="2" applyFont="1" applyFill="1" applyBorder="1" applyAlignment="1">
      <alignment horizontal="center" vertical="center"/>
    </xf>
    <xf numFmtId="0" fontId="10" fillId="2" borderId="11" xfId="2" applyFont="1" applyFill="1" applyBorder="1" applyAlignment="1">
      <alignment horizontal="center" vertical="center"/>
    </xf>
    <xf numFmtId="165" fontId="9" fillId="0" borderId="4" xfId="0" applyNumberFormat="1" applyFont="1" applyBorder="1"/>
    <xf numFmtId="165" fontId="9" fillId="0" borderId="18" xfId="0" applyNumberFormat="1" applyFont="1" applyBorder="1"/>
    <xf numFmtId="0" fontId="9" fillId="0" borderId="51" xfId="2" applyFont="1" applyBorder="1" applyAlignment="1">
      <alignment horizontal="left" vertical="center"/>
    </xf>
    <xf numFmtId="0" fontId="9" fillId="0" borderId="13" xfId="2" applyFont="1" applyBorder="1" applyAlignment="1">
      <alignment horizontal="left" vertical="center"/>
    </xf>
    <xf numFmtId="165" fontId="9" fillId="0" borderId="61" xfId="0" applyNumberFormat="1" applyFont="1" applyBorder="1"/>
    <xf numFmtId="165" fontId="9" fillId="0" borderId="58" xfId="0" applyNumberFormat="1" applyFont="1" applyBorder="1"/>
    <xf numFmtId="165" fontId="9" fillId="0" borderId="43" xfId="0" applyNumberFormat="1" applyFont="1" applyBorder="1"/>
    <xf numFmtId="165" fontId="9" fillId="0" borderId="50" xfId="0" applyNumberFormat="1" applyFont="1" applyBorder="1"/>
    <xf numFmtId="165" fontId="9" fillId="0" borderId="51" xfId="0" applyNumberFormat="1" applyFont="1" applyBorder="1"/>
    <xf numFmtId="165" fontId="9" fillId="0" borderId="16" xfId="0" applyNumberFormat="1" applyFont="1" applyBorder="1"/>
    <xf numFmtId="0" fontId="6" fillId="0" borderId="14" xfId="2" applyFont="1" applyBorder="1" applyAlignment="1">
      <alignment vertical="center"/>
    </xf>
    <xf numFmtId="0" fontId="9" fillId="0" borderId="70" xfId="0" applyFont="1" applyBorder="1"/>
    <xf numFmtId="0" fontId="9" fillId="0" borderId="67" xfId="0" applyFont="1" applyBorder="1"/>
    <xf numFmtId="0" fontId="8" fillId="5" borderId="0" xfId="0" applyFont="1" applyFill="1"/>
    <xf numFmtId="0" fontId="9" fillId="5" borderId="0" xfId="0" applyFont="1" applyFill="1"/>
    <xf numFmtId="0" fontId="6" fillId="5" borderId="0" xfId="2" applyFont="1" applyFill="1" applyAlignment="1">
      <alignment horizontal="center" vertical="center"/>
    </xf>
    <xf numFmtId="0" fontId="6" fillId="5" borderId="0" xfId="2" applyFont="1" applyFill="1" applyAlignment="1">
      <alignment horizontal="center" vertical="center" textRotation="90" wrapText="1"/>
    </xf>
    <xf numFmtId="0" fontId="10" fillId="5" borderId="0" xfId="2" applyFont="1" applyFill="1" applyAlignment="1">
      <alignment vertical="center"/>
    </xf>
    <xf numFmtId="0" fontId="9" fillId="0" borderId="48" xfId="2" applyFont="1" applyBorder="1" applyAlignment="1">
      <alignment horizontal="left" vertical="center"/>
    </xf>
    <xf numFmtId="0" fontId="10" fillId="5" borderId="0" xfId="0" applyFont="1" applyFill="1"/>
    <xf numFmtId="0" fontId="8" fillId="4" borderId="0" xfId="0" applyFont="1" applyFill="1" applyAlignment="1">
      <alignment vertical="center"/>
    </xf>
    <xf numFmtId="0" fontId="15" fillId="4" borderId="0" xfId="0" applyFont="1" applyFill="1" applyAlignment="1">
      <alignment vertical="center" wrapText="1"/>
    </xf>
    <xf numFmtId="0" fontId="15" fillId="4" borderId="0" xfId="0" applyFont="1" applyFill="1" applyAlignment="1">
      <alignment vertical="center"/>
    </xf>
    <xf numFmtId="0" fontId="0" fillId="0" borderId="0" xfId="0" applyAlignment="1">
      <alignment vertical="center"/>
    </xf>
    <xf numFmtId="0" fontId="0" fillId="0" borderId="0" xfId="0" applyAlignment="1">
      <alignment vertical="center" wrapText="1"/>
    </xf>
    <xf numFmtId="0" fontId="5" fillId="0" borderId="0" xfId="0" applyFont="1" applyAlignment="1">
      <alignment vertical="center"/>
    </xf>
    <xf numFmtId="0" fontId="3" fillId="0" borderId="0" xfId="0" applyFont="1" applyAlignment="1">
      <alignment vertical="center"/>
    </xf>
    <xf numFmtId="0" fontId="15" fillId="0" borderId="0" xfId="0" applyFont="1" applyAlignment="1">
      <alignment vertical="center"/>
    </xf>
    <xf numFmtId="0" fontId="8" fillId="0" borderId="0" xfId="0" applyFont="1"/>
    <xf numFmtId="0" fontId="8" fillId="0" borderId="0" xfId="2" applyFont="1" applyAlignment="1">
      <alignment vertical="center"/>
    </xf>
    <xf numFmtId="0" fontId="15" fillId="0" borderId="0" xfId="0" applyFont="1"/>
    <xf numFmtId="49" fontId="8" fillId="0" borderId="0" xfId="3" applyFont="1" applyAlignment="1">
      <alignment vertical="center"/>
    </xf>
    <xf numFmtId="0" fontId="6" fillId="0" borderId="0" xfId="0" applyFont="1" applyAlignment="1">
      <alignment horizontal="left"/>
    </xf>
    <xf numFmtId="0" fontId="6" fillId="0" borderId="0" xfId="2" applyFont="1" applyAlignment="1">
      <alignment vertical="center"/>
    </xf>
    <xf numFmtId="0" fontId="17" fillId="0" borderId="0" xfId="0" applyFont="1"/>
    <xf numFmtId="0" fontId="17" fillId="0" borderId="0" xfId="2" applyFont="1" applyAlignment="1">
      <alignment vertical="center"/>
    </xf>
    <xf numFmtId="0" fontId="16" fillId="0" borderId="0" xfId="0" applyFont="1"/>
    <xf numFmtId="0" fontId="16" fillId="0" borderId="0" xfId="0" applyFont="1" applyAlignment="1">
      <alignment horizontal="centerContinuous"/>
    </xf>
    <xf numFmtId="3" fontId="16" fillId="0" borderId="0" xfId="3" applyNumberFormat="1" applyFont="1" applyAlignment="1">
      <alignment vertical="center"/>
    </xf>
    <xf numFmtId="3" fontId="16" fillId="0" borderId="0" xfId="3" applyNumberFormat="1" applyFont="1" applyAlignment="1">
      <alignment horizontal="right" vertical="center"/>
    </xf>
    <xf numFmtId="0" fontId="17" fillId="0" borderId="0" xfId="0" applyFont="1" applyAlignment="1">
      <alignment horizontal="center" vertical="center" textRotation="90"/>
    </xf>
    <xf numFmtId="0" fontId="17" fillId="0" borderId="0" xfId="0" applyFont="1" applyAlignment="1">
      <alignment horizontal="center" vertical="center" wrapText="1"/>
    </xf>
    <xf numFmtId="0" fontId="10" fillId="0" borderId="18" xfId="0" applyFont="1" applyBorder="1" applyAlignment="1">
      <alignment horizontal="center"/>
    </xf>
    <xf numFmtId="0" fontId="9" fillId="0" borderId="44" xfId="0" applyFont="1" applyBorder="1"/>
    <xf numFmtId="0" fontId="9" fillId="0" borderId="56" xfId="2" applyFont="1" applyBorder="1" applyAlignment="1">
      <alignment horizontal="left" vertical="center"/>
    </xf>
    <xf numFmtId="0" fontId="9" fillId="0" borderId="56" xfId="0" applyFont="1" applyBorder="1"/>
    <xf numFmtId="0" fontId="9" fillId="0" borderId="17" xfId="0" applyFont="1" applyBorder="1"/>
    <xf numFmtId="0" fontId="9" fillId="0" borderId="43" xfId="0" applyFont="1" applyBorder="1"/>
    <xf numFmtId="0" fontId="3" fillId="0" borderId="0" xfId="0" applyFont="1" applyAlignment="1">
      <alignment horizontal="center" vertical="center"/>
    </xf>
    <xf numFmtId="0" fontId="1" fillId="0" borderId="28" xfId="0" applyFont="1" applyBorder="1" applyAlignment="1">
      <alignment horizontal="left" indent="2"/>
    </xf>
    <xf numFmtId="0" fontId="1" fillId="0" borderId="28" xfId="0" applyFont="1" applyBorder="1"/>
    <xf numFmtId="0" fontId="1" fillId="0" borderId="0" xfId="0" applyFont="1"/>
    <xf numFmtId="0" fontId="3" fillId="6" borderId="28" xfId="0" applyFont="1" applyFill="1" applyBorder="1"/>
    <xf numFmtId="0" fontId="3" fillId="6" borderId="28" xfId="0" applyFont="1" applyFill="1" applyBorder="1" applyAlignment="1">
      <alignment horizontal="right" vertical="center"/>
    </xf>
    <xf numFmtId="0" fontId="1" fillId="0" borderId="0" xfId="0" applyFont="1" applyAlignment="1">
      <alignment vertical="center"/>
    </xf>
    <xf numFmtId="0" fontId="3" fillId="7" borderId="28" xfId="0" applyFont="1" applyFill="1" applyBorder="1" applyAlignment="1">
      <alignment horizontal="center" vertical="center" wrapText="1"/>
    </xf>
    <xf numFmtId="0" fontId="3" fillId="7" borderId="28" xfId="0" applyFont="1" applyFill="1" applyBorder="1" applyAlignment="1">
      <alignment horizontal="center" vertical="center"/>
    </xf>
    <xf numFmtId="49" fontId="14" fillId="7" borderId="39" xfId="3" applyFont="1" applyFill="1" applyBorder="1" applyAlignment="1">
      <alignment horizontal="center" textRotation="90" wrapText="1"/>
    </xf>
    <xf numFmtId="49" fontId="14" fillId="7" borderId="41" xfId="3" applyFont="1" applyFill="1" applyBorder="1" applyAlignment="1">
      <alignment horizontal="center" textRotation="90" wrapText="1"/>
    </xf>
    <xf numFmtId="49" fontId="14" fillId="7" borderId="53" xfId="3" applyFont="1" applyFill="1" applyBorder="1" applyAlignment="1">
      <alignment horizontal="center" textRotation="90" wrapText="1"/>
    </xf>
    <xf numFmtId="49" fontId="12" fillId="7" borderId="41" xfId="3" applyFont="1" applyFill="1" applyBorder="1" applyAlignment="1">
      <alignment horizontal="center" textRotation="90" wrapText="1"/>
    </xf>
    <xf numFmtId="49" fontId="10" fillId="7" borderId="40" xfId="3" applyFont="1" applyFill="1" applyBorder="1" applyAlignment="1">
      <alignment horizontal="center" textRotation="90" wrapText="1"/>
    </xf>
    <xf numFmtId="0" fontId="6" fillId="7" borderId="66" xfId="2" applyFont="1" applyFill="1" applyBorder="1" applyAlignment="1">
      <alignment horizontal="center" vertical="center"/>
    </xf>
    <xf numFmtId="0" fontId="6" fillId="7" borderId="48" xfId="2" applyFont="1" applyFill="1" applyBorder="1" applyAlignment="1">
      <alignment horizontal="center" vertical="center" wrapText="1"/>
    </xf>
    <xf numFmtId="0" fontId="2" fillId="7" borderId="27" xfId="2" applyFont="1" applyFill="1" applyBorder="1" applyAlignment="1">
      <alignment horizontal="center" vertical="center" textRotation="90" wrapText="1"/>
    </xf>
    <xf numFmtId="0" fontId="2" fillId="7" borderId="28" xfId="2" applyFont="1" applyFill="1" applyBorder="1" applyAlignment="1">
      <alignment horizontal="center" vertical="center" textRotation="90" wrapText="1"/>
    </xf>
    <xf numFmtId="0" fontId="6" fillId="7" borderId="28" xfId="2" applyFont="1" applyFill="1" applyBorder="1" applyAlignment="1">
      <alignment horizontal="center" vertical="center" textRotation="90" wrapText="1"/>
    </xf>
    <xf numFmtId="0" fontId="6" fillId="7" borderId="1" xfId="2" applyFont="1" applyFill="1" applyBorder="1" applyAlignment="1">
      <alignment horizontal="center" vertical="center" textRotation="90" wrapText="1"/>
    </xf>
    <xf numFmtId="0" fontId="6" fillId="7" borderId="29" xfId="2" applyFont="1" applyFill="1" applyBorder="1" applyAlignment="1">
      <alignment horizontal="center" vertical="center" textRotation="90" wrapText="1"/>
    </xf>
    <xf numFmtId="0" fontId="10" fillId="7" borderId="12" xfId="2" applyFont="1" applyFill="1" applyBorder="1" applyAlignment="1">
      <alignment horizontal="center" vertical="center"/>
    </xf>
    <xf numFmtId="0" fontId="10" fillId="7" borderId="12" xfId="2" applyFont="1" applyFill="1" applyBorder="1" applyAlignment="1">
      <alignment horizontal="center" vertical="center" wrapText="1"/>
    </xf>
    <xf numFmtId="0" fontId="10" fillId="7" borderId="21" xfId="2" applyFont="1" applyFill="1" applyBorder="1" applyAlignment="1">
      <alignment horizontal="center" vertical="center" wrapText="1"/>
    </xf>
    <xf numFmtId="0" fontId="10" fillId="7" borderId="62" xfId="2" applyFont="1" applyFill="1" applyBorder="1" applyAlignment="1">
      <alignment horizontal="center" vertical="center" wrapText="1"/>
    </xf>
    <xf numFmtId="0" fontId="10" fillId="7" borderId="12" xfId="0" applyFont="1" applyFill="1" applyBorder="1" applyAlignment="1">
      <alignment horizontal="center" vertical="center" textRotation="90" wrapText="1"/>
    </xf>
    <xf numFmtId="0" fontId="10" fillId="7" borderId="13" xfId="0" applyFont="1" applyFill="1" applyBorder="1" applyAlignment="1">
      <alignment horizontal="center" vertical="center" textRotation="90" wrapText="1"/>
    </xf>
    <xf numFmtId="0" fontId="10" fillId="7" borderId="51" xfId="0" applyFont="1" applyFill="1" applyBorder="1" applyAlignment="1">
      <alignment horizontal="center" vertical="center" textRotation="90" wrapText="1"/>
    </xf>
    <xf numFmtId="0" fontId="10" fillId="7" borderId="56" xfId="0" applyFont="1" applyFill="1" applyBorder="1" applyAlignment="1">
      <alignment horizontal="center" vertical="center" textRotation="90" wrapText="1"/>
    </xf>
    <xf numFmtId="0" fontId="10" fillId="7" borderId="61" xfId="0" applyFont="1" applyFill="1" applyBorder="1" applyAlignment="1">
      <alignment horizontal="center" vertical="center" textRotation="90" wrapText="1"/>
    </xf>
    <xf numFmtId="0" fontId="10" fillId="7" borderId="21" xfId="0" applyFont="1" applyFill="1" applyBorder="1" applyAlignment="1">
      <alignment horizontal="center" vertical="center" textRotation="90" wrapText="1"/>
    </xf>
    <xf numFmtId="0" fontId="10" fillId="7" borderId="14" xfId="0" applyFont="1" applyFill="1" applyBorder="1" applyAlignment="1">
      <alignment horizontal="center" vertical="center" textRotation="90" wrapText="1"/>
    </xf>
    <xf numFmtId="0" fontId="10" fillId="7" borderId="11" xfId="0" applyFont="1" applyFill="1" applyBorder="1" applyAlignment="1">
      <alignment horizontal="center"/>
    </xf>
    <xf numFmtId="0" fontId="10" fillId="7" borderId="10" xfId="0" applyFont="1" applyFill="1" applyBorder="1" applyAlignment="1">
      <alignment horizontal="center"/>
    </xf>
    <xf numFmtId="0" fontId="10" fillId="7" borderId="52" xfId="0" applyFont="1" applyFill="1" applyBorder="1" applyAlignment="1">
      <alignment horizontal="center"/>
    </xf>
    <xf numFmtId="0" fontId="10" fillId="7" borderId="52" xfId="0" quotePrefix="1" applyFont="1" applyFill="1" applyBorder="1" applyAlignment="1">
      <alignment horizontal="center"/>
    </xf>
    <xf numFmtId="0" fontId="10" fillId="7" borderId="59" xfId="0" quotePrefix="1" applyFont="1" applyFill="1" applyBorder="1" applyAlignment="1">
      <alignment horizontal="center"/>
    </xf>
    <xf numFmtId="0" fontId="10" fillId="7" borderId="9" xfId="0" quotePrefix="1" applyFont="1" applyFill="1" applyBorder="1" applyAlignment="1">
      <alignment horizontal="center"/>
    </xf>
    <xf numFmtId="0" fontId="10" fillId="7" borderId="8" xfId="0" quotePrefix="1" applyFont="1" applyFill="1" applyBorder="1" applyAlignment="1">
      <alignment horizontal="center"/>
    </xf>
    <xf numFmtId="0" fontId="10" fillId="7" borderId="8" xfId="0" applyFont="1" applyFill="1" applyBorder="1" applyAlignment="1">
      <alignment horizontal="center"/>
    </xf>
    <xf numFmtId="0" fontId="10" fillId="7" borderId="18" xfId="2" applyFont="1" applyFill="1" applyBorder="1" applyAlignment="1">
      <alignment horizontal="center" vertical="center" wrapText="1"/>
    </xf>
    <xf numFmtId="0" fontId="10" fillId="7" borderId="5" xfId="2" applyFont="1" applyFill="1" applyBorder="1" applyAlignment="1">
      <alignment horizontal="center" vertical="center" wrapText="1"/>
    </xf>
    <xf numFmtId="0" fontId="10" fillId="7" borderId="15" xfId="0" applyFont="1" applyFill="1" applyBorder="1" applyAlignment="1">
      <alignment horizontal="center" vertical="center" wrapText="1"/>
    </xf>
    <xf numFmtId="165" fontId="10" fillId="7" borderId="43" xfId="0" applyNumberFormat="1" applyFont="1" applyFill="1" applyBorder="1" applyAlignment="1">
      <alignment horizontal="center" textRotation="90" wrapText="1"/>
    </xf>
    <xf numFmtId="165" fontId="10" fillId="7" borderId="16" xfId="0" applyNumberFormat="1" applyFont="1" applyFill="1" applyBorder="1" applyAlignment="1">
      <alignment horizontal="center" textRotation="90" wrapText="1"/>
    </xf>
    <xf numFmtId="165" fontId="10" fillId="7" borderId="44" xfId="0" applyNumberFormat="1" applyFont="1" applyFill="1" applyBorder="1" applyAlignment="1">
      <alignment horizontal="center" textRotation="90" wrapText="1"/>
    </xf>
    <xf numFmtId="0" fontId="10" fillId="7" borderId="5" xfId="0" applyFont="1" applyFill="1" applyBorder="1" applyAlignment="1">
      <alignment horizontal="center" vertical="center" wrapText="1"/>
    </xf>
    <xf numFmtId="165" fontId="10" fillId="7" borderId="16" xfId="0" applyNumberFormat="1" applyFont="1" applyFill="1" applyBorder="1" applyAlignment="1">
      <alignment horizontal="center" vertical="center" textRotation="90" wrapText="1"/>
    </xf>
    <xf numFmtId="165" fontId="10" fillId="7" borderId="44" xfId="0" applyNumberFormat="1" applyFont="1" applyFill="1" applyBorder="1" applyAlignment="1">
      <alignment horizontal="center" vertical="center" textRotation="90" wrapText="1"/>
    </xf>
    <xf numFmtId="0" fontId="6" fillId="0" borderId="0" xfId="0" applyFont="1"/>
    <xf numFmtId="0" fontId="6" fillId="0" borderId="0" xfId="0" quotePrefix="1" applyFont="1"/>
    <xf numFmtId="0" fontId="6" fillId="7" borderId="43" xfId="0" applyFont="1" applyFill="1" applyBorder="1" applyAlignment="1">
      <alignment horizontal="center" vertical="center" textRotation="90" wrapText="1"/>
    </xf>
    <xf numFmtId="0" fontId="6" fillId="7" borderId="16" xfId="0" applyFont="1" applyFill="1" applyBorder="1" applyAlignment="1">
      <alignment horizontal="center" vertical="center" textRotation="90" wrapText="1"/>
    </xf>
    <xf numFmtId="0" fontId="6" fillId="7" borderId="15" xfId="0" applyFont="1" applyFill="1" applyBorder="1" applyAlignment="1">
      <alignment horizontal="center" vertical="center" textRotation="90" wrapText="1"/>
    </xf>
    <xf numFmtId="0" fontId="6" fillId="7" borderId="18" xfId="0" applyFont="1" applyFill="1" applyBorder="1" applyAlignment="1">
      <alignment horizontal="center" vertical="center" textRotation="90" wrapText="1"/>
    </xf>
    <xf numFmtId="0" fontId="6" fillId="0" borderId="12" xfId="0" applyFont="1" applyBorder="1" applyAlignment="1">
      <alignment horizontal="center" wrapText="1"/>
    </xf>
    <xf numFmtId="0" fontId="6" fillId="0" borderId="61" xfId="0" applyFont="1" applyBorder="1" applyAlignment="1">
      <alignment horizontal="center"/>
    </xf>
    <xf numFmtId="0" fontId="6" fillId="0" borderId="51" xfId="0" applyFont="1" applyBorder="1" applyAlignment="1">
      <alignment horizontal="center"/>
    </xf>
    <xf numFmtId="0" fontId="6" fillId="0" borderId="13" xfId="0" applyFont="1" applyBorder="1" applyAlignment="1">
      <alignment horizontal="center"/>
    </xf>
    <xf numFmtId="0" fontId="6" fillId="0" borderId="4" xfId="0" applyFont="1" applyBorder="1" applyAlignment="1">
      <alignment horizontal="center"/>
    </xf>
    <xf numFmtId="0" fontId="18" fillId="0" borderId="14" xfId="0" applyFont="1" applyBorder="1" applyAlignment="1">
      <alignment wrapText="1"/>
    </xf>
    <xf numFmtId="3" fontId="6" fillId="0" borderId="58" xfId="0" applyNumberFormat="1" applyFont="1" applyBorder="1"/>
    <xf numFmtId="3" fontId="6" fillId="0" borderId="51" xfId="0" applyNumberFormat="1" applyFont="1" applyBorder="1"/>
    <xf numFmtId="3" fontId="6" fillId="0" borderId="13" xfId="0" applyNumberFormat="1" applyFont="1" applyBorder="1"/>
    <xf numFmtId="3" fontId="6" fillId="0" borderId="4" xfId="0" applyNumberFormat="1" applyFont="1" applyBorder="1"/>
    <xf numFmtId="0" fontId="2" fillId="0" borderId="14" xfId="0" applyFont="1" applyBorder="1" applyAlignment="1">
      <alignment wrapText="1"/>
    </xf>
    <xf numFmtId="3" fontId="2" fillId="0" borderId="58" xfId="0" applyNumberFormat="1" applyFont="1" applyBorder="1"/>
    <xf numFmtId="3" fontId="2" fillId="0" borderId="51" xfId="0" applyNumberFormat="1" applyFont="1" applyBorder="1"/>
    <xf numFmtId="3" fontId="2" fillId="0" borderId="13" xfId="0" applyNumberFormat="1" applyFont="1" applyBorder="1"/>
    <xf numFmtId="3" fontId="2" fillId="0" borderId="4" xfId="0" applyNumberFormat="1" applyFont="1" applyBorder="1"/>
    <xf numFmtId="0" fontId="6" fillId="0" borderId="14" xfId="0" applyFont="1" applyBorder="1" applyAlignment="1">
      <alignment wrapText="1"/>
    </xf>
    <xf numFmtId="0" fontId="2" fillId="0" borderId="14" xfId="0" applyFont="1" applyBorder="1" applyAlignment="1">
      <alignment horizontal="left" wrapText="1"/>
    </xf>
    <xf numFmtId="0" fontId="2" fillId="0" borderId="14" xfId="0" quotePrefix="1" applyFont="1" applyBorder="1" applyAlignment="1">
      <alignment horizontal="left" wrapText="1"/>
    </xf>
    <xf numFmtId="0" fontId="18" fillId="0" borderId="14" xfId="0" applyFont="1" applyBorder="1" applyAlignment="1">
      <alignment horizontal="left" wrapText="1"/>
    </xf>
    <xf numFmtId="0" fontId="2" fillId="0" borderId="7" xfId="0" applyFont="1" applyBorder="1" applyAlignment="1">
      <alignment wrapText="1"/>
    </xf>
    <xf numFmtId="0" fontId="2" fillId="0" borderId="3" xfId="0" applyFont="1" applyBorder="1" applyAlignment="1">
      <alignment wrapText="1"/>
    </xf>
    <xf numFmtId="0" fontId="6" fillId="0" borderId="47" xfId="0" applyFont="1" applyBorder="1" applyAlignment="1">
      <alignment horizontal="center" wrapText="1"/>
    </xf>
    <xf numFmtId="3" fontId="6" fillId="0" borderId="72" xfId="0" applyNumberFormat="1" applyFont="1" applyBorder="1"/>
    <xf numFmtId="3" fontId="6" fillId="0" borderId="73" xfId="0" applyNumberFormat="1" applyFont="1" applyBorder="1"/>
    <xf numFmtId="3" fontId="6" fillId="0" borderId="74" xfId="0" applyNumberFormat="1" applyFont="1" applyBorder="1"/>
    <xf numFmtId="3" fontId="6" fillId="0" borderId="71" xfId="0" applyNumberFormat="1" applyFont="1" applyBorder="1"/>
    <xf numFmtId="0" fontId="6" fillId="0" borderId="5" xfId="0" applyFont="1" applyBorder="1" applyAlignment="1">
      <alignment horizontal="center" wrapText="1"/>
    </xf>
    <xf numFmtId="3" fontId="6" fillId="0" borderId="43" xfId="0" applyNumberFormat="1" applyFont="1" applyBorder="1"/>
    <xf numFmtId="3" fontId="6" fillId="0" borderId="20" xfId="0" applyNumberFormat="1" applyFont="1" applyBorder="1"/>
    <xf numFmtId="3" fontId="6" fillId="0" borderId="15" xfId="0" applyNumberFormat="1" applyFont="1" applyBorder="1"/>
    <xf numFmtId="3" fontId="6" fillId="0" borderId="18" xfId="0" applyNumberFormat="1" applyFont="1" applyBorder="1"/>
    <xf numFmtId="3" fontId="6" fillId="0" borderId="75" xfId="0" applyNumberFormat="1" applyFont="1" applyBorder="1"/>
    <xf numFmtId="3" fontId="2" fillId="0" borderId="61" xfId="0" applyNumberFormat="1" applyFont="1" applyBorder="1"/>
    <xf numFmtId="3" fontId="2" fillId="0" borderId="49" xfId="0" applyNumberFormat="1" applyFont="1" applyBorder="1"/>
    <xf numFmtId="3" fontId="2" fillId="0" borderId="55" xfId="0" applyNumberFormat="1" applyFont="1" applyBorder="1"/>
    <xf numFmtId="3" fontId="2" fillId="0" borderId="54" xfId="0" applyNumberFormat="1" applyFont="1" applyBorder="1"/>
    <xf numFmtId="3" fontId="2" fillId="0" borderId="21" xfId="0" applyNumberFormat="1" applyFont="1" applyBorder="1"/>
    <xf numFmtId="3" fontId="6" fillId="0" borderId="44" xfId="0" applyNumberFormat="1" applyFont="1" applyBorder="1"/>
    <xf numFmtId="3" fontId="6" fillId="0" borderId="76" xfId="0" applyNumberFormat="1" applyFont="1" applyBorder="1"/>
    <xf numFmtId="3" fontId="2" fillId="0" borderId="50" xfId="0" applyNumberFormat="1" applyFont="1" applyBorder="1"/>
    <xf numFmtId="3" fontId="6" fillId="0" borderId="16" xfId="0" applyNumberFormat="1" applyFont="1" applyBorder="1"/>
    <xf numFmtId="0" fontId="3" fillId="0" borderId="0" xfId="2" applyFont="1" applyAlignment="1">
      <alignment vertical="center"/>
    </xf>
    <xf numFmtId="0" fontId="3" fillId="5" borderId="0" xfId="0" applyFont="1" applyFill="1"/>
    <xf numFmtId="0" fontId="10" fillId="2" borderId="15" xfId="2" applyFont="1" applyFill="1" applyBorder="1" applyAlignment="1">
      <alignment vertical="center"/>
    </xf>
    <xf numFmtId="0" fontId="10" fillId="2" borderId="16" xfId="2" applyFont="1" applyFill="1" applyBorder="1" applyAlignment="1">
      <alignment vertical="center"/>
    </xf>
    <xf numFmtId="0" fontId="9" fillId="0" borderId="0" xfId="4" applyFont="1"/>
    <xf numFmtId="0" fontId="9" fillId="0" borderId="20" xfId="4" applyFont="1" applyBorder="1"/>
    <xf numFmtId="0" fontId="10" fillId="0" borderId="11" xfId="4" applyFont="1" applyBorder="1" applyAlignment="1">
      <alignment horizontal="center"/>
    </xf>
    <xf numFmtId="0" fontId="10" fillId="0" borderId="7" xfId="4" applyFont="1" applyBorder="1" applyAlignment="1">
      <alignment horizontal="center"/>
    </xf>
    <xf numFmtId="0" fontId="9" fillId="0" borderId="4" xfId="4" applyFont="1" applyBorder="1"/>
    <xf numFmtId="0" fontId="9" fillId="0" borderId="14" xfId="4" applyFont="1" applyBorder="1"/>
    <xf numFmtId="0" fontId="9" fillId="0" borderId="8" xfId="4" applyFont="1" applyBorder="1"/>
    <xf numFmtId="3" fontId="9" fillId="0" borderId="4" xfId="4" applyNumberFormat="1" applyFont="1" applyBorder="1"/>
    <xf numFmtId="0" fontId="9" fillId="0" borderId="12" xfId="4" applyFont="1" applyBorder="1"/>
    <xf numFmtId="0" fontId="10" fillId="0" borderId="0" xfId="4" applyFont="1" applyAlignment="1">
      <alignment horizontal="center"/>
    </xf>
    <xf numFmtId="0" fontId="10" fillId="8" borderId="18" xfId="4" applyFont="1" applyFill="1" applyBorder="1" applyAlignment="1">
      <alignment horizontal="center"/>
    </xf>
    <xf numFmtId="0" fontId="10" fillId="8" borderId="5" xfId="4" applyFont="1" applyFill="1" applyBorder="1" applyAlignment="1">
      <alignment horizontal="center" wrapText="1"/>
    </xf>
    <xf numFmtId="0" fontId="10" fillId="8" borderId="5" xfId="4" applyFont="1" applyFill="1" applyBorder="1" applyAlignment="1">
      <alignment horizontal="center"/>
    </xf>
    <xf numFmtId="0" fontId="15" fillId="0" borderId="0" xfId="4" applyFont="1"/>
    <xf numFmtId="0" fontId="8" fillId="0" borderId="0" xfId="4" applyFont="1"/>
    <xf numFmtId="0" fontId="10" fillId="0" borderId="0" xfId="4" applyFont="1"/>
    <xf numFmtId="0" fontId="0" fillId="5" borderId="0" xfId="0" applyFill="1" applyAlignment="1">
      <alignment horizontal="left" vertical="center" wrapText="1"/>
    </xf>
    <xf numFmtId="0" fontId="0" fillId="0" borderId="0" xfId="0" applyAlignment="1">
      <alignment horizontal="left" vertical="center"/>
    </xf>
    <xf numFmtId="0" fontId="3" fillId="6" borderId="36" xfId="0" applyFont="1" applyFill="1" applyBorder="1" applyAlignment="1">
      <alignment horizontal="right" vertical="center"/>
    </xf>
    <xf numFmtId="0" fontId="2" fillId="0" borderId="78" xfId="0" applyFont="1" applyBorder="1" applyAlignment="1">
      <alignment horizontal="left" indent="2"/>
    </xf>
    <xf numFmtId="0" fontId="2" fillId="0" borderId="0" xfId="0" applyFont="1" applyAlignment="1">
      <alignment horizontal="left" indent="2"/>
    </xf>
    <xf numFmtId="0" fontId="3" fillId="0" borderId="28" xfId="0" applyFont="1" applyBorder="1" applyAlignment="1">
      <alignment horizontal="left" vertical="center"/>
    </xf>
    <xf numFmtId="164" fontId="1" fillId="0" borderId="28" xfId="5" applyFont="1" applyFill="1" applyBorder="1"/>
    <xf numFmtId="164" fontId="9" fillId="0" borderId="28" xfId="5" applyFont="1" applyFill="1" applyBorder="1"/>
    <xf numFmtId="164" fontId="10" fillId="6" borderId="28" xfId="5" applyFont="1" applyFill="1" applyBorder="1"/>
    <xf numFmtId="164" fontId="3" fillId="6" borderId="28" xfId="0" applyNumberFormat="1" applyFont="1" applyFill="1" applyBorder="1"/>
    <xf numFmtId="164" fontId="10" fillId="6" borderId="28" xfId="0" applyNumberFormat="1" applyFont="1" applyFill="1" applyBorder="1" applyAlignment="1">
      <alignment vertical="center"/>
    </xf>
    <xf numFmtId="164" fontId="3" fillId="6" borderId="28" xfId="0" applyNumberFormat="1" applyFont="1" applyFill="1" applyBorder="1" applyAlignment="1">
      <alignment vertical="center"/>
    </xf>
    <xf numFmtId="43" fontId="10" fillId="6" borderId="28" xfId="0" applyNumberFormat="1" applyFont="1" applyFill="1" applyBorder="1" applyAlignment="1">
      <alignment vertical="center"/>
    </xf>
    <xf numFmtId="43" fontId="3" fillId="6" borderId="28" xfId="0" applyNumberFormat="1" applyFont="1" applyFill="1" applyBorder="1" applyAlignment="1">
      <alignment vertical="center"/>
    </xf>
    <xf numFmtId="164" fontId="3" fillId="6" borderId="28" xfId="5" applyFont="1" applyFill="1" applyBorder="1" applyAlignment="1">
      <alignment vertical="center"/>
    </xf>
    <xf numFmtId="0" fontId="10" fillId="8" borderId="19" xfId="4" applyFont="1" applyFill="1" applyBorder="1" applyAlignment="1">
      <alignment horizontal="center"/>
    </xf>
    <xf numFmtId="0" fontId="22" fillId="9" borderId="28" xfId="0" applyFont="1" applyFill="1" applyBorder="1" applyAlignment="1">
      <alignment horizontal="center" vertical="center"/>
    </xf>
    <xf numFmtId="0" fontId="22" fillId="9" borderId="28" xfId="0" applyFont="1" applyFill="1" applyBorder="1" applyAlignment="1">
      <alignment horizontal="center" vertical="center" wrapText="1"/>
    </xf>
    <xf numFmtId="0" fontId="24" fillId="0" borderId="28" xfId="0" applyFont="1" applyBorder="1" applyAlignment="1">
      <alignment vertical="center" wrapText="1"/>
    </xf>
    <xf numFmtId="0" fontId="24" fillId="0" borderId="28" xfId="0" applyFont="1" applyBorder="1" applyAlignment="1">
      <alignment horizontal="center" vertical="center" wrapText="1"/>
    </xf>
    <xf numFmtId="0" fontId="24" fillId="0" borderId="28" xfId="0" applyFont="1" applyBorder="1" applyAlignment="1">
      <alignment horizontal="center" vertical="center"/>
    </xf>
    <xf numFmtId="0" fontId="24" fillId="0" borderId="28" xfId="0" applyFont="1" applyBorder="1" applyAlignment="1">
      <alignment vertical="center"/>
    </xf>
    <xf numFmtId="0" fontId="25" fillId="0" borderId="28" xfId="0" applyFont="1" applyBorder="1" applyAlignment="1">
      <alignment vertical="center" wrapText="1"/>
    </xf>
    <xf numFmtId="0" fontId="23" fillId="0" borderId="28" xfId="0" applyFont="1" applyBorder="1" applyAlignment="1">
      <alignment horizontal="center" vertical="center"/>
    </xf>
    <xf numFmtId="0" fontId="23" fillId="0" borderId="28" xfId="0" applyFont="1" applyBorder="1" applyAlignment="1">
      <alignment vertical="center" wrapText="1"/>
    </xf>
    <xf numFmtId="0" fontId="27" fillId="9" borderId="28" xfId="0" applyFont="1" applyFill="1" applyBorder="1" applyAlignment="1">
      <alignment horizontal="center" vertical="center"/>
    </xf>
    <xf numFmtId="0" fontId="27" fillId="9" borderId="28" xfId="0" applyFont="1" applyFill="1" applyBorder="1" applyAlignment="1">
      <alignment horizontal="center" vertical="center" wrapText="1"/>
    </xf>
    <xf numFmtId="3" fontId="24" fillId="0" borderId="28" xfId="0" applyNumberFormat="1" applyFont="1" applyBorder="1" applyAlignment="1">
      <alignment horizontal="center" vertical="center" wrapText="1"/>
    </xf>
    <xf numFmtId="0" fontId="28" fillId="0" borderId="28" xfId="0" applyFont="1" applyBorder="1" applyAlignment="1">
      <alignment horizontal="center" vertical="center" wrapText="1"/>
    </xf>
    <xf numFmtId="9" fontId="24" fillId="0" borderId="28" xfId="0" applyNumberFormat="1" applyFont="1" applyBorder="1" applyAlignment="1">
      <alignment horizontal="center" vertical="center" wrapText="1"/>
    </xf>
    <xf numFmtId="10" fontId="24" fillId="0" borderId="28" xfId="0" applyNumberFormat="1" applyFont="1" applyBorder="1" applyAlignment="1">
      <alignment horizontal="center" vertical="center" wrapText="1"/>
    </xf>
    <xf numFmtId="0" fontId="28" fillId="0" borderId="28" xfId="0" applyFont="1" applyBorder="1" applyAlignment="1">
      <alignment vertical="center" wrapText="1"/>
    </xf>
    <xf numFmtId="0" fontId="23" fillId="0" borderId="28" xfId="0" applyFont="1" applyBorder="1" applyAlignment="1">
      <alignment horizontal="center" vertical="center" wrapText="1"/>
    </xf>
    <xf numFmtId="3" fontId="29" fillId="0" borderId="28" xfId="0" applyNumberFormat="1" applyFont="1" applyBorder="1" applyAlignment="1">
      <alignment horizontal="center" vertical="center"/>
    </xf>
    <xf numFmtId="0" fontId="29" fillId="0" borderId="28" xfId="0" applyFont="1" applyBorder="1" applyAlignment="1">
      <alignment horizontal="center" vertical="center"/>
    </xf>
    <xf numFmtId="4" fontId="29" fillId="0" borderId="28" xfId="0" applyNumberFormat="1" applyFont="1" applyBorder="1" applyAlignment="1">
      <alignment horizontal="center" vertical="center"/>
    </xf>
    <xf numFmtId="0" fontId="28" fillId="0" borderId="28" xfId="0" applyFont="1" applyBorder="1" applyAlignment="1">
      <alignment horizontal="center" vertical="center"/>
    </xf>
    <xf numFmtId="0" fontId="24" fillId="0" borderId="28" xfId="0" applyFont="1" applyBorder="1" applyAlignment="1">
      <alignment horizontal="justify" vertical="center" wrapText="1"/>
    </xf>
    <xf numFmtId="3" fontId="24" fillId="0" borderId="28" xfId="0" applyNumberFormat="1" applyFont="1" applyBorder="1" applyAlignment="1">
      <alignment horizontal="center" vertical="center"/>
    </xf>
    <xf numFmtId="0" fontId="10" fillId="7" borderId="6" xfId="2" applyFont="1" applyFill="1" applyBorder="1" applyAlignment="1">
      <alignment horizontal="center" vertical="center" wrapText="1"/>
    </xf>
    <xf numFmtId="0" fontId="10" fillId="7" borderId="19" xfId="2" applyFont="1" applyFill="1" applyBorder="1" applyAlignment="1">
      <alignment horizontal="center" vertical="center" wrapText="1"/>
    </xf>
    <xf numFmtId="0" fontId="10" fillId="7" borderId="5" xfId="2" applyFont="1" applyFill="1" applyBorder="1" applyAlignment="1">
      <alignment horizontal="center" vertical="center"/>
    </xf>
    <xf numFmtId="0" fontId="9" fillId="0" borderId="21" xfId="4" applyFont="1" applyBorder="1" applyAlignment="1">
      <alignment horizontal="center"/>
    </xf>
    <xf numFmtId="3" fontId="10" fillId="0" borderId="0" xfId="4" applyNumberFormat="1" applyFont="1" applyAlignment="1">
      <alignment horizontal="center"/>
    </xf>
    <xf numFmtId="14" fontId="9" fillId="0" borderId="14" xfId="4" applyNumberFormat="1" applyFont="1" applyBorder="1" applyAlignment="1">
      <alignment horizontal="center"/>
    </xf>
    <xf numFmtId="3" fontId="9" fillId="0" borderId="4" xfId="4" applyNumberFormat="1" applyFont="1" applyBorder="1" applyAlignment="1">
      <alignment horizontal="center"/>
    </xf>
    <xf numFmtId="4" fontId="9" fillId="0" borderId="4" xfId="4" applyNumberFormat="1" applyFont="1" applyBorder="1"/>
    <xf numFmtId="0" fontId="9" fillId="0" borderId="4" xfId="4" applyFont="1" applyBorder="1" applyAlignment="1">
      <alignment horizontal="center"/>
    </xf>
    <xf numFmtId="3" fontId="9" fillId="0" borderId="0" xfId="4" applyNumberFormat="1" applyFont="1" applyAlignment="1">
      <alignment horizontal="center"/>
    </xf>
    <xf numFmtId="166" fontId="9" fillId="0" borderId="14" xfId="4" applyNumberFormat="1" applyFont="1" applyBorder="1" applyAlignment="1">
      <alignment horizontal="center"/>
    </xf>
    <xf numFmtId="0" fontId="10" fillId="0" borderId="14" xfId="4" applyFont="1" applyBorder="1"/>
    <xf numFmtId="0" fontId="10" fillId="0" borderId="11" xfId="4" applyFont="1" applyBorder="1"/>
    <xf numFmtId="4" fontId="10" fillId="0" borderId="44" xfId="4" applyNumberFormat="1" applyFont="1" applyBorder="1"/>
    <xf numFmtId="4" fontId="10" fillId="0" borderId="5" xfId="4" applyNumberFormat="1" applyFont="1" applyBorder="1"/>
    <xf numFmtId="0" fontId="10" fillId="7" borderId="19" xfId="0" applyFont="1" applyFill="1" applyBorder="1" applyAlignment="1">
      <alignment horizontal="center" vertical="center" wrapText="1"/>
    </xf>
    <xf numFmtId="0" fontId="10" fillId="7" borderId="18" xfId="0" applyFont="1" applyFill="1" applyBorder="1" applyAlignment="1">
      <alignment horizontal="center" vertical="center" wrapText="1"/>
    </xf>
    <xf numFmtId="0" fontId="10" fillId="7" borderId="43" xfId="0" applyFont="1" applyFill="1" applyBorder="1" applyAlignment="1">
      <alignment horizontal="center" vertical="center" wrapText="1"/>
    </xf>
    <xf numFmtId="0" fontId="10" fillId="7" borderId="16" xfId="0" applyFont="1" applyFill="1" applyBorder="1" applyAlignment="1">
      <alignment horizontal="center" vertical="center" wrapText="1"/>
    </xf>
    <xf numFmtId="0" fontId="1" fillId="0" borderId="0" xfId="4"/>
    <xf numFmtId="0" fontId="3" fillId="0" borderId="0" xfId="4" applyFont="1" applyAlignment="1">
      <alignment horizontal="left"/>
    </xf>
    <xf numFmtId="0" fontId="3" fillId="7" borderId="28" xfId="4" applyFont="1" applyFill="1" applyBorder="1" applyAlignment="1">
      <alignment horizontal="center" vertical="center" wrapText="1"/>
    </xf>
    <xf numFmtId="0" fontId="3" fillId="7" borderId="28" xfId="4" applyFont="1" applyFill="1" applyBorder="1" applyAlignment="1">
      <alignment horizontal="center" vertical="center"/>
    </xf>
    <xf numFmtId="0" fontId="3" fillId="0" borderId="0" xfId="4" applyFont="1" applyAlignment="1">
      <alignment horizontal="center" vertical="center"/>
    </xf>
    <xf numFmtId="0" fontId="1" fillId="0" borderId="28" xfId="4" applyBorder="1"/>
    <xf numFmtId="43" fontId="1" fillId="0" borderId="28" xfId="6" applyFont="1" applyFill="1" applyBorder="1"/>
    <xf numFmtId="0" fontId="3" fillId="6" borderId="28" xfId="4" applyFont="1" applyFill="1" applyBorder="1" applyAlignment="1">
      <alignment horizontal="right" vertical="center" indent="2"/>
    </xf>
    <xf numFmtId="43" fontId="3" fillId="6" borderId="28" xfId="6" applyFont="1" applyFill="1" applyBorder="1" applyAlignment="1">
      <alignment vertical="center"/>
    </xf>
    <xf numFmtId="0" fontId="1" fillId="0" borderId="0" xfId="4" applyAlignment="1">
      <alignment vertical="center"/>
    </xf>
    <xf numFmtId="0" fontId="1" fillId="0" borderId="78" xfId="4" applyBorder="1" applyAlignment="1">
      <alignment horizontal="left" indent="2"/>
    </xf>
    <xf numFmtId="0" fontId="1" fillId="0" borderId="0" xfId="4" applyAlignment="1">
      <alignment horizontal="left" indent="2"/>
    </xf>
    <xf numFmtId="0" fontId="10" fillId="0" borderId="0" xfId="4" applyFont="1" applyAlignment="1">
      <alignment horizontal="left"/>
    </xf>
    <xf numFmtId="0" fontId="9" fillId="0" borderId="0" xfId="4" applyFont="1" applyAlignment="1">
      <alignment horizontal="centerContinuous"/>
    </xf>
    <xf numFmtId="0" fontId="31" fillId="0" borderId="0" xfId="4" applyFont="1"/>
    <xf numFmtId="0" fontId="32" fillId="0" borderId="0" xfId="2" applyFont="1" applyAlignment="1">
      <alignment vertical="center"/>
    </xf>
    <xf numFmtId="0" fontId="31" fillId="0" borderId="0" xfId="4" applyFont="1" applyAlignment="1">
      <alignment vertical="center" wrapText="1"/>
    </xf>
    <xf numFmtId="49" fontId="14" fillId="7" borderId="43" xfId="3" applyFont="1" applyFill="1" applyBorder="1" applyAlignment="1">
      <alignment horizontal="center" textRotation="90" wrapText="1"/>
    </xf>
    <xf numFmtId="49" fontId="14" fillId="7" borderId="16" xfId="3" applyFont="1" applyFill="1" applyBorder="1" applyAlignment="1">
      <alignment horizontal="center" textRotation="90" wrapText="1"/>
    </xf>
    <xf numFmtId="49" fontId="12" fillId="7" borderId="17" xfId="3" applyFont="1" applyFill="1" applyBorder="1" applyAlignment="1">
      <alignment horizontal="center" textRotation="90" wrapText="1"/>
    </xf>
    <xf numFmtId="49" fontId="14" fillId="7" borderId="17" xfId="3" applyFont="1" applyFill="1" applyBorder="1" applyAlignment="1">
      <alignment horizontal="center" textRotation="90" wrapText="1"/>
    </xf>
    <xf numFmtId="49" fontId="10" fillId="7" borderId="43" xfId="3" applyFont="1" applyFill="1" applyBorder="1" applyAlignment="1">
      <alignment horizontal="center" textRotation="90" wrapText="1"/>
    </xf>
    <xf numFmtId="49" fontId="10" fillId="7" borderId="44" xfId="3" applyFont="1" applyFill="1" applyBorder="1" applyAlignment="1">
      <alignment horizontal="center" textRotation="90" wrapText="1"/>
    </xf>
    <xf numFmtId="0" fontId="31" fillId="0" borderId="0" xfId="4" applyFont="1" applyAlignment="1">
      <alignment wrapText="1"/>
    </xf>
    <xf numFmtId="49" fontId="33" fillId="0" borderId="65" xfId="3" applyFont="1" applyBorder="1" applyAlignment="1">
      <alignment vertical="center"/>
    </xf>
    <xf numFmtId="4" fontId="34" fillId="0" borderId="22" xfId="3" applyNumberFormat="1" applyFont="1" applyBorder="1" applyAlignment="1">
      <alignment vertical="center"/>
    </xf>
    <xf numFmtId="4" fontId="34" fillId="0" borderId="23" xfId="3" applyNumberFormat="1" applyFont="1" applyBorder="1" applyAlignment="1">
      <alignment vertical="center"/>
    </xf>
    <xf numFmtId="4" fontId="34" fillId="0" borderId="24" xfId="3" applyNumberFormat="1" applyFont="1" applyBorder="1" applyAlignment="1">
      <alignment vertical="center"/>
    </xf>
    <xf numFmtId="4" fontId="34" fillId="0" borderId="23" xfId="3" applyNumberFormat="1" applyFont="1" applyBorder="1" applyAlignment="1">
      <alignment horizontal="right" vertical="center"/>
    </xf>
    <xf numFmtId="4" fontId="34" fillId="0" borderId="24" xfId="3" applyNumberFormat="1" applyFont="1" applyBorder="1" applyAlignment="1">
      <alignment horizontal="right" vertical="center"/>
    </xf>
    <xf numFmtId="4" fontId="34" fillId="0" borderId="22" xfId="3" applyNumberFormat="1" applyFont="1" applyBorder="1" applyAlignment="1">
      <alignment horizontal="right" vertical="center"/>
    </xf>
    <xf numFmtId="4" fontId="34" fillId="0" borderId="25" xfId="3" applyNumberFormat="1" applyFont="1" applyBorder="1" applyAlignment="1">
      <alignment vertical="center"/>
    </xf>
    <xf numFmtId="0" fontId="35" fillId="0" borderId="0" xfId="4" applyFont="1"/>
    <xf numFmtId="49" fontId="33" fillId="0" borderId="2" xfId="3" applyFont="1" applyBorder="1" applyAlignment="1">
      <alignment vertical="center"/>
    </xf>
    <xf numFmtId="4" fontId="34" fillId="0" borderId="26" xfId="3" applyNumberFormat="1" applyFont="1" applyBorder="1" applyAlignment="1">
      <alignment vertical="center"/>
    </xf>
    <xf numFmtId="4" fontId="34" fillId="0" borderId="28" xfId="3" applyNumberFormat="1" applyFont="1" applyBorder="1" applyAlignment="1">
      <alignment vertical="center"/>
    </xf>
    <xf numFmtId="4" fontId="34" fillId="0" borderId="28" xfId="3" applyNumberFormat="1" applyFont="1" applyBorder="1" applyAlignment="1">
      <alignment horizontal="right" vertical="center"/>
    </xf>
    <xf numFmtId="4" fontId="34" fillId="0" borderId="26" xfId="3" applyNumberFormat="1" applyFont="1" applyBorder="1" applyAlignment="1">
      <alignment horizontal="right" vertical="center"/>
    </xf>
    <xf numFmtId="4" fontId="34" fillId="0" borderId="1" xfId="3" applyNumberFormat="1" applyFont="1" applyBorder="1" applyAlignment="1">
      <alignment horizontal="right" vertical="center"/>
    </xf>
    <xf numFmtId="4" fontId="34" fillId="0" borderId="29" xfId="3" applyNumberFormat="1" applyFont="1" applyBorder="1" applyAlignment="1">
      <alignment vertical="center"/>
    </xf>
    <xf numFmtId="4" fontId="33" fillId="0" borderId="26" xfId="3" applyNumberFormat="1" applyFont="1" applyBorder="1" applyAlignment="1">
      <alignment horizontal="justify" vertical="center"/>
    </xf>
    <xf numFmtId="4" fontId="33" fillId="0" borderId="28" xfId="3" applyNumberFormat="1" applyFont="1" applyBorder="1" applyAlignment="1">
      <alignment vertical="center"/>
    </xf>
    <xf numFmtId="4" fontId="33" fillId="0" borderId="28" xfId="3" applyNumberFormat="1" applyFont="1" applyBorder="1" applyAlignment="1">
      <alignment horizontal="justify" vertical="center"/>
    </xf>
    <xf numFmtId="4" fontId="33" fillId="0" borderId="28" xfId="3" applyNumberFormat="1" applyFont="1" applyBorder="1" applyAlignment="1">
      <alignment horizontal="right" vertical="center"/>
    </xf>
    <xf numFmtId="4" fontId="33" fillId="0" borderId="26" xfId="3" applyNumberFormat="1" applyFont="1" applyBorder="1" applyAlignment="1">
      <alignment horizontal="right" vertical="center"/>
    </xf>
    <xf numFmtId="4" fontId="33" fillId="0" borderId="1" xfId="3" applyNumberFormat="1" applyFont="1" applyBorder="1" applyAlignment="1">
      <alignment horizontal="right" vertical="center"/>
    </xf>
    <xf numFmtId="4" fontId="33" fillId="0" borderId="29" xfId="3" applyNumberFormat="1" applyFont="1" applyBorder="1" applyAlignment="1">
      <alignment horizontal="right" vertical="center"/>
    </xf>
    <xf numFmtId="4" fontId="33" fillId="0" borderId="26" xfId="3" applyNumberFormat="1" applyFont="1" applyBorder="1" applyAlignment="1">
      <alignment vertical="center"/>
    </xf>
    <xf numFmtId="4" fontId="33" fillId="0" borderId="29" xfId="3" applyNumberFormat="1" applyFont="1" applyBorder="1" applyAlignment="1">
      <alignment vertical="center"/>
    </xf>
    <xf numFmtId="49" fontId="33" fillId="0" borderId="26" xfId="3" applyFont="1" applyBorder="1" applyAlignment="1">
      <alignment horizontal="right" vertical="center"/>
    </xf>
    <xf numFmtId="49" fontId="33" fillId="0" borderId="79" xfId="3" applyFont="1" applyBorder="1" applyAlignment="1">
      <alignment vertical="center"/>
    </xf>
    <xf numFmtId="4" fontId="33" fillId="0" borderId="34" xfId="3" applyNumberFormat="1" applyFont="1" applyBorder="1" applyAlignment="1">
      <alignment vertical="center"/>
    </xf>
    <xf numFmtId="4" fontId="33" fillId="0" borderId="36" xfId="3" applyNumberFormat="1" applyFont="1" applyBorder="1" applyAlignment="1">
      <alignment vertical="center"/>
    </xf>
    <xf numFmtId="4" fontId="33" fillId="0" borderId="36" xfId="3" applyNumberFormat="1" applyFont="1" applyBorder="1" applyAlignment="1">
      <alignment horizontal="right" vertical="center"/>
    </xf>
    <xf numFmtId="49" fontId="33" fillId="0" borderId="34" xfId="3" applyFont="1" applyBorder="1" applyAlignment="1">
      <alignment horizontal="right" vertical="center"/>
    </xf>
    <xf numFmtId="4" fontId="33" fillId="0" borderId="37" xfId="3" applyNumberFormat="1" applyFont="1" applyBorder="1" applyAlignment="1">
      <alignment horizontal="right" vertical="center"/>
    </xf>
    <xf numFmtId="4" fontId="33" fillId="0" borderId="38" xfId="3" applyNumberFormat="1" applyFont="1" applyBorder="1" applyAlignment="1">
      <alignment vertical="center"/>
    </xf>
    <xf numFmtId="49" fontId="33" fillId="0" borderId="64" xfId="3" applyFont="1" applyBorder="1" applyAlignment="1">
      <alignment vertical="center"/>
    </xf>
    <xf numFmtId="4" fontId="34" fillId="0" borderId="34" xfId="3" applyNumberFormat="1" applyFont="1" applyBorder="1" applyAlignment="1">
      <alignment vertical="center"/>
    </xf>
    <xf numFmtId="4" fontId="34" fillId="0" borderId="36" xfId="3" applyNumberFormat="1" applyFont="1" applyBorder="1" applyAlignment="1">
      <alignment vertical="center"/>
    </xf>
    <xf numFmtId="4" fontId="34" fillId="0" borderId="36" xfId="3" applyNumberFormat="1" applyFont="1" applyBorder="1" applyAlignment="1">
      <alignment horizontal="right" vertical="center"/>
    </xf>
    <xf numFmtId="4" fontId="34" fillId="0" borderId="34" xfId="3" applyNumberFormat="1" applyFont="1" applyBorder="1" applyAlignment="1">
      <alignment horizontal="right" vertical="center"/>
    </xf>
    <xf numFmtId="4" fontId="34" fillId="0" borderId="37" xfId="3" applyNumberFormat="1" applyFont="1" applyBorder="1" applyAlignment="1">
      <alignment horizontal="right" vertical="center"/>
    </xf>
    <xf numFmtId="4" fontId="34" fillId="0" borderId="38" xfId="3" applyNumberFormat="1" applyFont="1" applyBorder="1" applyAlignment="1">
      <alignment vertical="center"/>
    </xf>
    <xf numFmtId="49" fontId="34" fillId="2" borderId="19" xfId="3" applyFont="1" applyFill="1" applyBorder="1" applyAlignment="1">
      <alignment horizontal="center" vertical="center"/>
    </xf>
    <xf numFmtId="4" fontId="34" fillId="2" borderId="43" xfId="3" applyNumberFormat="1" applyFont="1" applyFill="1" applyBorder="1" applyAlignment="1">
      <alignment horizontal="right" vertical="center"/>
    </xf>
    <xf numFmtId="4" fontId="34" fillId="2" borderId="16" xfId="3" applyNumberFormat="1" applyFont="1" applyFill="1" applyBorder="1" applyAlignment="1">
      <alignment horizontal="right" vertical="center"/>
    </xf>
    <xf numFmtId="4" fontId="34" fillId="2" borderId="44" xfId="3" applyNumberFormat="1" applyFont="1" applyFill="1" applyBorder="1" applyAlignment="1">
      <alignment horizontal="right" vertical="center"/>
    </xf>
    <xf numFmtId="49" fontId="17" fillId="0" borderId="0" xfId="3" applyFont="1" applyAlignment="1">
      <alignment horizontal="left" vertical="center"/>
    </xf>
    <xf numFmtId="0" fontId="16" fillId="0" borderId="0" xfId="4" applyFont="1"/>
    <xf numFmtId="0" fontId="6" fillId="0" borderId="0" xfId="4" applyFont="1" applyAlignment="1">
      <alignment horizontal="left"/>
    </xf>
    <xf numFmtId="43" fontId="0" fillId="0" borderId="0" xfId="6" applyFont="1" applyBorder="1"/>
    <xf numFmtId="43" fontId="2" fillId="0" borderId="0" xfId="6" applyFont="1" applyFill="1" applyBorder="1"/>
    <xf numFmtId="0" fontId="3" fillId="7" borderId="1" xfId="4" applyFont="1" applyFill="1" applyBorder="1" applyAlignment="1">
      <alignment horizontal="center" vertical="center"/>
    </xf>
    <xf numFmtId="43" fontId="3" fillId="0" borderId="0" xfId="6" applyFont="1" applyAlignment="1">
      <alignment horizontal="center" vertical="center"/>
    </xf>
    <xf numFmtId="0" fontId="2" fillId="0" borderId="28" xfId="4" applyFont="1" applyBorder="1"/>
    <xf numFmtId="43" fontId="2" fillId="0" borderId="28" xfId="6" applyFont="1" applyFill="1" applyBorder="1"/>
    <xf numFmtId="43" fontId="2" fillId="0" borderId="1" xfId="6" applyFont="1" applyBorder="1"/>
    <xf numFmtId="43" fontId="0" fillId="0" borderId="0" xfId="6" applyFont="1"/>
    <xf numFmtId="43" fontId="2" fillId="0" borderId="1" xfId="6" applyFont="1" applyFill="1" applyBorder="1"/>
    <xf numFmtId="43" fontId="1" fillId="0" borderId="0" xfId="6" applyFont="1" applyFill="1"/>
    <xf numFmtId="43" fontId="1" fillId="0" borderId="0" xfId="6" applyFont="1" applyBorder="1"/>
    <xf numFmtId="43" fontId="1" fillId="0" borderId="0" xfId="4" applyNumberFormat="1"/>
    <xf numFmtId="0" fontId="6" fillId="6" borderId="28" xfId="4" applyFont="1" applyFill="1" applyBorder="1" applyAlignment="1">
      <alignment horizontal="right" vertical="center" indent="2"/>
    </xf>
    <xf numFmtId="43" fontId="6" fillId="6" borderId="28" xfId="6" applyFont="1" applyFill="1" applyBorder="1" applyAlignment="1">
      <alignment vertical="center"/>
    </xf>
    <xf numFmtId="43" fontId="6" fillId="6" borderId="1" xfId="6" applyFont="1" applyFill="1" applyBorder="1" applyAlignment="1">
      <alignment vertical="center"/>
    </xf>
    <xf numFmtId="43" fontId="3" fillId="0" borderId="0" xfId="4" applyNumberFormat="1" applyFont="1"/>
    <xf numFmtId="0" fontId="6" fillId="7" borderId="28" xfId="4" applyFont="1" applyFill="1" applyBorder="1" applyAlignment="1">
      <alignment horizontal="center" vertical="center" wrapText="1"/>
    </xf>
    <xf numFmtId="43" fontId="1" fillId="0" borderId="0" xfId="6" applyFont="1" applyFill="1" applyBorder="1"/>
    <xf numFmtId="43" fontId="3" fillId="0" borderId="0" xfId="6" applyFont="1" applyFill="1" applyBorder="1"/>
    <xf numFmtId="0" fontId="3" fillId="0" borderId="0" xfId="4" applyFont="1"/>
    <xf numFmtId="0" fontId="2" fillId="0" borderId="0" xfId="4" applyFont="1"/>
    <xf numFmtId="0" fontId="2" fillId="0" borderId="78" xfId="4" applyFont="1" applyBorder="1" applyAlignment="1">
      <alignment horizontal="left" indent="2"/>
    </xf>
    <xf numFmtId="0" fontId="2" fillId="0" borderId="0" xfId="4" applyFont="1" applyAlignment="1">
      <alignment horizontal="left" indent="2"/>
    </xf>
    <xf numFmtId="0" fontId="9" fillId="0" borderId="6" xfId="4" applyFont="1" applyBorder="1"/>
    <xf numFmtId="0" fontId="9" fillId="0" borderId="30" xfId="4" applyFont="1" applyBorder="1"/>
    <xf numFmtId="0" fontId="9" fillId="0" borderId="32" xfId="4" applyFont="1" applyBorder="1"/>
    <xf numFmtId="0" fontId="9" fillId="0" borderId="31" xfId="4" applyFont="1" applyBorder="1"/>
    <xf numFmtId="0" fontId="9" fillId="0" borderId="68" xfId="4" applyFont="1" applyBorder="1"/>
    <xf numFmtId="49" fontId="9" fillId="0" borderId="3" xfId="4" applyNumberFormat="1" applyFont="1" applyBorder="1" applyAlignment="1">
      <alignment horizontal="left"/>
    </xf>
    <xf numFmtId="0" fontId="9" fillId="0" borderId="26" xfId="4" applyFont="1" applyBorder="1"/>
    <xf numFmtId="0" fontId="9" fillId="0" borderId="28" xfId="4" applyFont="1" applyBorder="1"/>
    <xf numFmtId="0" fontId="9" fillId="0" borderId="29" xfId="4" applyFont="1" applyBorder="1"/>
    <xf numFmtId="0" fontId="9" fillId="0" borderId="27" xfId="4" applyFont="1" applyBorder="1"/>
    <xf numFmtId="0" fontId="9" fillId="0" borderId="34" xfId="4" applyFont="1" applyBorder="1"/>
    <xf numFmtId="0" fontId="9" fillId="0" borderId="36" xfId="4" applyFont="1" applyBorder="1"/>
    <xf numFmtId="0" fontId="9" fillId="0" borderId="38" xfId="4" applyFont="1" applyBorder="1"/>
    <xf numFmtId="0" fontId="9" fillId="0" borderId="35" xfId="4" applyFont="1" applyBorder="1"/>
    <xf numFmtId="49" fontId="9" fillId="0" borderId="7" xfId="4" applyNumberFormat="1" applyFont="1" applyBorder="1" applyAlignment="1">
      <alignment horizontal="left"/>
    </xf>
    <xf numFmtId="0" fontId="9" fillId="3" borderId="11" xfId="4" applyFont="1" applyFill="1" applyBorder="1" applyAlignment="1">
      <alignment horizontal="right"/>
    </xf>
    <xf numFmtId="0" fontId="9" fillId="3" borderId="39" xfId="4" applyFont="1" applyFill="1" applyBorder="1"/>
    <xf numFmtId="0" fontId="9" fillId="3" borderId="41" xfId="4" applyFont="1" applyFill="1" applyBorder="1"/>
    <xf numFmtId="0" fontId="9" fillId="3" borderId="40" xfId="4" applyFont="1" applyFill="1" applyBorder="1"/>
    <xf numFmtId="0" fontId="9" fillId="3" borderId="53" xfId="4" applyFont="1" applyFill="1" applyBorder="1"/>
    <xf numFmtId="0" fontId="9" fillId="0" borderId="3" xfId="4" applyFont="1" applyBorder="1"/>
    <xf numFmtId="0" fontId="9" fillId="0" borderId="22" xfId="4" applyFont="1" applyBorder="1"/>
    <xf numFmtId="0" fontId="9" fillId="0" borderId="23" xfId="4" applyFont="1" applyBorder="1"/>
    <xf numFmtId="0" fontId="9" fillId="0" borderId="25" xfId="4" applyFont="1" applyBorder="1"/>
    <xf numFmtId="0" fontId="9" fillId="0" borderId="46" xfId="4" applyFont="1" applyBorder="1"/>
    <xf numFmtId="0" fontId="9" fillId="0" borderId="7" xfId="4" applyFont="1" applyBorder="1" applyAlignment="1">
      <alignment horizontal="right"/>
    </xf>
    <xf numFmtId="167" fontId="9" fillId="0" borderId="32" xfId="4" applyNumberFormat="1" applyFont="1" applyBorder="1"/>
    <xf numFmtId="167" fontId="9" fillId="0" borderId="30" xfId="4" applyNumberFormat="1" applyFont="1" applyBorder="1"/>
    <xf numFmtId="167" fontId="9" fillId="0" borderId="28" xfId="4" applyNumberFormat="1" applyFont="1" applyBorder="1"/>
    <xf numFmtId="9" fontId="9" fillId="0" borderId="31" xfId="7" applyFont="1" applyBorder="1"/>
    <xf numFmtId="167" fontId="2" fillId="0" borderId="23" xfId="4" applyNumberFormat="1" applyFont="1" applyBorder="1"/>
    <xf numFmtId="167" fontId="9" fillId="0" borderId="26" xfId="4" applyNumberFormat="1" applyFont="1" applyBorder="1"/>
    <xf numFmtId="10" fontId="9" fillId="0" borderId="7" xfId="4" applyNumberFormat="1" applyFont="1" applyBorder="1" applyAlignment="1">
      <alignment horizontal="right"/>
    </xf>
    <xf numFmtId="10" fontId="9" fillId="3" borderId="11" xfId="4" applyNumberFormat="1" applyFont="1" applyFill="1" applyBorder="1" applyAlignment="1">
      <alignment horizontal="right"/>
    </xf>
    <xf numFmtId="10" fontId="9" fillId="3" borderId="39" xfId="4" applyNumberFormat="1" applyFont="1" applyFill="1" applyBorder="1"/>
    <xf numFmtId="10" fontId="9" fillId="3" borderId="41" xfId="4" applyNumberFormat="1" applyFont="1" applyFill="1" applyBorder="1"/>
    <xf numFmtId="10" fontId="9" fillId="3" borderId="40" xfId="4" applyNumberFormat="1" applyFont="1" applyFill="1" applyBorder="1"/>
    <xf numFmtId="10" fontId="9" fillId="0" borderId="0" xfId="4" applyNumberFormat="1" applyFont="1"/>
    <xf numFmtId="167" fontId="9" fillId="0" borderId="23" xfId="4" applyNumberFormat="1" applyFont="1" applyBorder="1"/>
    <xf numFmtId="9" fontId="9" fillId="0" borderId="7" xfId="7" applyFont="1" applyBorder="1" applyAlignment="1">
      <alignment horizontal="right"/>
    </xf>
    <xf numFmtId="9" fontId="9" fillId="3" borderId="11" xfId="7" applyFont="1" applyFill="1" applyBorder="1" applyAlignment="1">
      <alignment horizontal="right"/>
    </xf>
    <xf numFmtId="9" fontId="9" fillId="3" borderId="39" xfId="7" applyFont="1" applyFill="1" applyBorder="1"/>
    <xf numFmtId="9" fontId="9" fillId="3" borderId="41" xfId="7" applyFont="1" applyFill="1" applyBorder="1"/>
    <xf numFmtId="9" fontId="9" fillId="3" borderId="40" xfId="7" applyFont="1" applyFill="1" applyBorder="1"/>
    <xf numFmtId="9" fontId="9" fillId="3" borderId="53" xfId="7" applyFont="1" applyFill="1" applyBorder="1"/>
    <xf numFmtId="9" fontId="9" fillId="0" borderId="0" xfId="7" applyFont="1"/>
    <xf numFmtId="167" fontId="9" fillId="0" borderId="0" xfId="4" applyNumberFormat="1" applyFont="1"/>
    <xf numFmtId="9" fontId="9" fillId="0" borderId="41" xfId="7" applyFont="1" applyBorder="1" applyAlignment="1">
      <alignment horizontal="right"/>
    </xf>
    <xf numFmtId="9" fontId="9" fillId="3" borderId="41" xfId="7" applyFont="1" applyFill="1" applyBorder="1" applyAlignment="1">
      <alignment horizontal="right"/>
    </xf>
    <xf numFmtId="168" fontId="9" fillId="0" borderId="23" xfId="4" applyNumberFormat="1" applyFont="1" applyBorder="1"/>
    <xf numFmtId="168" fontId="9" fillId="5" borderId="23" xfId="4" applyNumberFormat="1" applyFont="1" applyFill="1" applyBorder="1"/>
    <xf numFmtId="168" fontId="9" fillId="0" borderId="46" xfId="4" applyNumberFormat="1" applyFont="1" applyBorder="1"/>
    <xf numFmtId="168" fontId="9" fillId="0" borderId="24" xfId="4" applyNumberFormat="1" applyFont="1" applyBorder="1"/>
    <xf numFmtId="168" fontId="36" fillId="5" borderId="23" xfId="4" applyNumberFormat="1" applyFont="1" applyFill="1" applyBorder="1" applyAlignment="1">
      <alignment horizontal="right" vertical="center" wrapText="1"/>
    </xf>
    <xf numFmtId="167" fontId="9" fillId="5" borderId="28" xfId="4" applyNumberFormat="1" applyFont="1" applyFill="1" applyBorder="1"/>
    <xf numFmtId="167" fontId="9" fillId="0" borderId="50" xfId="4" applyNumberFormat="1" applyFont="1" applyBorder="1"/>
    <xf numFmtId="167" fontId="36" fillId="0" borderId="23" xfId="4" applyNumberFormat="1" applyFont="1" applyBorder="1"/>
    <xf numFmtId="167" fontId="9" fillId="5" borderId="23" xfId="4" applyNumberFormat="1" applyFont="1" applyFill="1" applyBorder="1"/>
    <xf numFmtId="167" fontId="9" fillId="0" borderId="68" xfId="4" applyNumberFormat="1" applyFont="1" applyBorder="1"/>
    <xf numFmtId="167" fontId="9" fillId="0" borderId="27" xfId="4" applyNumberFormat="1" applyFont="1" applyBorder="1"/>
    <xf numFmtId="167" fontId="9" fillId="0" borderId="24" xfId="4" applyNumberFormat="1" applyFont="1" applyBorder="1"/>
    <xf numFmtId="167" fontId="36" fillId="5" borderId="23" xfId="4" applyNumberFormat="1" applyFont="1" applyFill="1" applyBorder="1" applyAlignment="1">
      <alignment horizontal="right" vertical="center" wrapText="1"/>
    </xf>
    <xf numFmtId="167" fontId="36" fillId="5" borderId="23" xfId="4" applyNumberFormat="1" applyFont="1" applyFill="1" applyBorder="1"/>
    <xf numFmtId="167" fontId="9" fillId="0" borderId="46" xfId="4" applyNumberFormat="1" applyFont="1" applyBorder="1"/>
    <xf numFmtId="0" fontId="9" fillId="0" borderId="3" xfId="4" applyFont="1" applyBorder="1" applyAlignment="1">
      <alignment horizontal="left"/>
    </xf>
    <xf numFmtId="0" fontId="9" fillId="0" borderId="3" xfId="4" applyFont="1" applyBorder="1" applyAlignment="1">
      <alignment horizontal="center"/>
    </xf>
    <xf numFmtId="9" fontId="10" fillId="3" borderId="11" xfId="7" applyFont="1" applyFill="1" applyBorder="1" applyAlignment="1">
      <alignment horizontal="right"/>
    </xf>
    <xf numFmtId="9" fontId="10" fillId="3" borderId="39" xfId="7" applyFont="1" applyFill="1" applyBorder="1"/>
    <xf numFmtId="9" fontId="10" fillId="3" borderId="41" xfId="7" applyFont="1" applyFill="1" applyBorder="1"/>
    <xf numFmtId="0" fontId="10" fillId="0" borderId="57" xfId="2" applyFont="1" applyBorder="1" applyAlignment="1">
      <alignment vertical="center"/>
    </xf>
    <xf numFmtId="3" fontId="1" fillId="0" borderId="0" xfId="4" applyNumberFormat="1"/>
    <xf numFmtId="0" fontId="10" fillId="0" borderId="14" xfId="2" applyFont="1" applyBorder="1" applyAlignment="1">
      <alignment vertical="center"/>
    </xf>
    <xf numFmtId="3" fontId="10" fillId="0" borderId="3" xfId="2" applyNumberFormat="1" applyFont="1" applyBorder="1" applyAlignment="1">
      <alignment vertical="center"/>
    </xf>
    <xf numFmtId="9" fontId="10" fillId="0" borderId="56" xfId="7" applyFont="1" applyFill="1" applyBorder="1" applyAlignment="1">
      <alignment vertical="center"/>
    </xf>
    <xf numFmtId="3" fontId="10" fillId="0" borderId="58" xfId="2" applyNumberFormat="1" applyFont="1" applyBorder="1" applyAlignment="1">
      <alignment vertical="center"/>
    </xf>
    <xf numFmtId="9" fontId="10" fillId="0" borderId="4" xfId="7" applyFont="1" applyFill="1" applyBorder="1" applyAlignment="1">
      <alignment vertical="center"/>
    </xf>
    <xf numFmtId="0" fontId="10" fillId="0" borderId="13" xfId="2" applyFont="1" applyBorder="1" applyAlignment="1">
      <alignment vertical="center"/>
    </xf>
    <xf numFmtId="0" fontId="10" fillId="0" borderId="14" xfId="2" applyFont="1" applyBorder="1" applyAlignment="1">
      <alignment horizontal="left" vertical="center" wrapText="1"/>
    </xf>
    <xf numFmtId="0" fontId="10" fillId="0" borderId="4" xfId="2" applyFont="1" applyBorder="1" applyAlignment="1">
      <alignment horizontal="left" vertical="center"/>
    </xf>
    <xf numFmtId="0" fontId="10" fillId="0" borderId="4" xfId="2" applyFont="1" applyBorder="1" applyAlignment="1">
      <alignment vertical="center" wrapText="1"/>
    </xf>
    <xf numFmtId="164" fontId="10" fillId="0" borderId="4" xfId="8" applyFont="1" applyFill="1" applyBorder="1" applyAlignment="1">
      <alignment vertical="center" wrapText="1"/>
    </xf>
    <xf numFmtId="4" fontId="10" fillId="0" borderId="4" xfId="2" applyNumberFormat="1" applyFont="1" applyBorder="1" applyAlignment="1">
      <alignment vertical="center"/>
    </xf>
    <xf numFmtId="14" fontId="10" fillId="0" borderId="4" xfId="2" applyNumberFormat="1" applyFont="1" applyBorder="1" applyAlignment="1">
      <alignment vertical="center"/>
    </xf>
    <xf numFmtId="0" fontId="10" fillId="0" borderId="4" xfId="2" applyFont="1" applyBorder="1" applyAlignment="1">
      <alignment vertical="center"/>
    </xf>
    <xf numFmtId="14" fontId="10" fillId="0" borderId="14" xfId="2" applyNumberFormat="1" applyFont="1" applyBorder="1" applyAlignment="1">
      <alignment vertical="center"/>
    </xf>
    <xf numFmtId="14" fontId="9" fillId="0" borderId="0" xfId="4" applyNumberFormat="1" applyFont="1"/>
    <xf numFmtId="3" fontId="10" fillId="0" borderId="4" xfId="2" applyNumberFormat="1" applyFont="1" applyBorder="1" applyAlignment="1">
      <alignment vertical="center"/>
    </xf>
    <xf numFmtId="0" fontId="10" fillId="0" borderId="14" xfId="2" applyFont="1" applyBorder="1" applyAlignment="1">
      <alignment horizontal="left" vertical="center"/>
    </xf>
    <xf numFmtId="0" fontId="10" fillId="7" borderId="19" xfId="2" applyFont="1" applyFill="1" applyBorder="1" applyAlignment="1">
      <alignment horizontal="center" vertical="center"/>
    </xf>
    <xf numFmtId="3" fontId="9" fillId="0" borderId="51" xfId="0" applyNumberFormat="1" applyFont="1" applyBorder="1"/>
    <xf numFmtId="4" fontId="9" fillId="0" borderId="13" xfId="2" applyNumberFormat="1" applyFont="1" applyBorder="1" applyAlignment="1">
      <alignment horizontal="left" vertical="center"/>
    </xf>
    <xf numFmtId="4" fontId="0" fillId="0" borderId="0" xfId="0" applyNumberFormat="1" applyProtection="1">
      <protection locked="0"/>
    </xf>
    <xf numFmtId="4" fontId="9" fillId="0" borderId="13" xfId="0" applyNumberFormat="1" applyFont="1" applyBorder="1"/>
    <xf numFmtId="4" fontId="9" fillId="0" borderId="4" xfId="0" applyNumberFormat="1" applyFont="1" applyBorder="1"/>
    <xf numFmtId="15" fontId="6" fillId="7" borderId="12" xfId="2" applyNumberFormat="1" applyFont="1" applyFill="1" applyBorder="1" applyAlignment="1">
      <alignment horizontal="center" vertical="center"/>
    </xf>
    <xf numFmtId="0" fontId="6" fillId="7" borderId="12" xfId="2" applyFont="1" applyFill="1" applyBorder="1" applyAlignment="1">
      <alignment horizontal="center" vertical="center"/>
    </xf>
    <xf numFmtId="0" fontId="6" fillId="7" borderId="8" xfId="2" applyFont="1" applyFill="1" applyBorder="1" applyAlignment="1">
      <alignment horizontal="center" vertical="center"/>
    </xf>
    <xf numFmtId="0" fontId="2" fillId="0" borderId="57" xfId="0" applyFont="1" applyBorder="1" applyAlignment="1" applyProtection="1">
      <alignment wrapText="1"/>
      <protection locked="0"/>
    </xf>
    <xf numFmtId="0" fontId="6" fillId="0" borderId="14" xfId="2" applyFont="1" applyBorder="1" applyAlignment="1">
      <alignment horizontal="left" vertical="center" wrapText="1"/>
    </xf>
    <xf numFmtId="0" fontId="6" fillId="0" borderId="3" xfId="2" applyFont="1" applyBorder="1" applyAlignment="1">
      <alignment horizontal="left" vertical="center" wrapText="1"/>
    </xf>
    <xf numFmtId="0" fontId="6" fillId="0" borderId="50" xfId="0" applyFont="1" applyBorder="1" applyProtection="1">
      <protection locked="0"/>
    </xf>
    <xf numFmtId="0" fontId="6" fillId="0" borderId="0" xfId="2" applyFont="1" applyAlignment="1">
      <alignment vertical="center" wrapText="1"/>
    </xf>
    <xf numFmtId="0" fontId="6" fillId="0" borderId="51" xfId="2" applyFont="1" applyBorder="1" applyAlignment="1">
      <alignment vertical="center" wrapText="1"/>
    </xf>
    <xf numFmtId="0" fontId="6" fillId="0" borderId="57" xfId="2" applyFont="1" applyBorder="1" applyAlignment="1">
      <alignment vertical="center"/>
    </xf>
    <xf numFmtId="0" fontId="6" fillId="0" borderId="51" xfId="0" applyFont="1" applyBorder="1" applyProtection="1">
      <protection locked="0"/>
    </xf>
    <xf numFmtId="0" fontId="2" fillId="0" borderId="57" xfId="0" applyFont="1" applyBorder="1" applyProtection="1">
      <protection locked="0"/>
    </xf>
    <xf numFmtId="0" fontId="6" fillId="0" borderId="14" xfId="2" applyFont="1" applyBorder="1" applyAlignment="1">
      <alignment horizontal="left" vertical="center"/>
    </xf>
    <xf numFmtId="0" fontId="6" fillId="0" borderId="3" xfId="2" applyFont="1" applyBorder="1" applyAlignment="1">
      <alignment horizontal="left" vertical="center"/>
    </xf>
    <xf numFmtId="0" fontId="2" fillId="0" borderId="51" xfId="0" applyFont="1" applyBorder="1" applyProtection="1">
      <protection locked="0"/>
    </xf>
    <xf numFmtId="0" fontId="6" fillId="0" borderId="0" xfId="0" applyFont="1" applyProtection="1">
      <protection locked="0"/>
    </xf>
    <xf numFmtId="0" fontId="6" fillId="0" borderId="51" xfId="2" applyFont="1" applyBorder="1" applyAlignment="1">
      <alignment vertical="center"/>
    </xf>
    <xf numFmtId="0" fontId="6" fillId="0" borderId="51" xfId="2" applyFont="1" applyBorder="1" applyAlignment="1">
      <alignment horizontal="left" vertical="center" wrapText="1"/>
    </xf>
    <xf numFmtId="0" fontId="6" fillId="0" borderId="52" xfId="2" applyFont="1" applyBorder="1" applyAlignment="1">
      <alignment horizontal="left" vertical="center" wrapText="1"/>
    </xf>
    <xf numFmtId="0" fontId="37" fillId="0" borderId="80" xfId="0" applyFont="1" applyBorder="1" applyAlignment="1">
      <alignment vertical="center" wrapText="1"/>
    </xf>
    <xf numFmtId="0" fontId="38" fillId="0" borderId="81" xfId="0" applyFont="1" applyBorder="1" applyAlignment="1">
      <alignment vertical="center" wrapText="1"/>
    </xf>
    <xf numFmtId="49" fontId="9" fillId="0" borderId="0" xfId="2" applyNumberFormat="1" applyFont="1" applyAlignment="1">
      <alignment horizontal="left" vertical="center"/>
    </xf>
    <xf numFmtId="4" fontId="9" fillId="0" borderId="3" xfId="2" applyNumberFormat="1" applyFont="1" applyBorder="1" applyAlignment="1">
      <alignment horizontal="right" vertical="center"/>
    </xf>
    <xf numFmtId="0" fontId="9" fillId="0" borderId="3" xfId="2" applyFont="1" applyBorder="1" applyAlignment="1">
      <alignment horizontal="left" vertical="center" wrapText="1"/>
    </xf>
    <xf numFmtId="14" fontId="38" fillId="0" borderId="81" xfId="0" applyNumberFormat="1" applyFont="1" applyBorder="1" applyAlignment="1">
      <alignment vertical="center"/>
    </xf>
    <xf numFmtId="14" fontId="9" fillId="0" borderId="4" xfId="2" applyNumberFormat="1" applyFont="1" applyBorder="1" applyAlignment="1">
      <alignment vertical="center"/>
    </xf>
    <xf numFmtId="0" fontId="9" fillId="0" borderId="14" xfId="2" applyFont="1" applyBorder="1" applyAlignment="1">
      <alignment horizontal="left" vertical="center" wrapText="1"/>
    </xf>
    <xf numFmtId="0" fontId="9" fillId="0" borderId="4" xfId="2" applyFont="1" applyBorder="1" applyAlignment="1">
      <alignment horizontal="left" vertical="center"/>
    </xf>
    <xf numFmtId="0" fontId="9" fillId="0" borderId="11" xfId="2" applyFont="1" applyBorder="1" applyAlignment="1">
      <alignment horizontal="left" vertical="center"/>
    </xf>
    <xf numFmtId="49" fontId="9" fillId="0" borderId="0" xfId="2" applyNumberFormat="1" applyFont="1" applyAlignment="1">
      <alignment horizontal="center" vertical="center"/>
    </xf>
    <xf numFmtId="4" fontId="9" fillId="0" borderId="3" xfId="2" applyNumberFormat="1" applyFont="1" applyBorder="1" applyAlignment="1">
      <alignment horizontal="center" vertical="center"/>
    </xf>
    <xf numFmtId="0" fontId="9" fillId="0" borderId="3" xfId="2" applyFont="1" applyBorder="1" applyAlignment="1">
      <alignment horizontal="center" vertical="center" wrapText="1"/>
    </xf>
    <xf numFmtId="168" fontId="10" fillId="2" borderId="19" xfId="2" applyNumberFormat="1" applyFont="1" applyFill="1" applyBorder="1" applyAlignment="1">
      <alignment horizontal="center" vertical="center"/>
    </xf>
    <xf numFmtId="49" fontId="17" fillId="0" borderId="19" xfId="3" applyFont="1" applyBorder="1" applyAlignment="1">
      <alignment horizontal="left" vertical="center"/>
    </xf>
    <xf numFmtId="0" fontId="10" fillId="7" borderId="31" xfId="2" applyFont="1" applyFill="1" applyBorder="1" applyAlignment="1">
      <alignment horizontal="center" vertical="center" wrapText="1"/>
    </xf>
    <xf numFmtId="0" fontId="10" fillId="7" borderId="20" xfId="0" applyFont="1" applyFill="1" applyBorder="1" applyAlignment="1">
      <alignment horizontal="center" vertical="center" wrapText="1"/>
    </xf>
    <xf numFmtId="0" fontId="10" fillId="7" borderId="44" xfId="0" applyFont="1" applyFill="1" applyBorder="1" applyAlignment="1">
      <alignment horizontal="center" vertical="center" wrapText="1"/>
    </xf>
    <xf numFmtId="0" fontId="16" fillId="0" borderId="14" xfId="0" applyFont="1" applyBorder="1"/>
    <xf numFmtId="3" fontId="39" fillId="0" borderId="14" xfId="0" applyNumberFormat="1" applyFont="1" applyBorder="1"/>
    <xf numFmtId="3" fontId="39" fillId="0" borderId="0" xfId="0" applyNumberFormat="1" applyFont="1"/>
    <xf numFmtId="3" fontId="39" fillId="0" borderId="4" xfId="0" applyNumberFormat="1" applyFont="1" applyBorder="1"/>
    <xf numFmtId="0" fontId="39" fillId="0" borderId="14" xfId="0" applyFont="1" applyBorder="1"/>
    <xf numFmtId="0" fontId="17" fillId="0" borderId="14" xfId="0" applyFont="1" applyBorder="1"/>
    <xf numFmtId="0" fontId="16" fillId="0" borderId="11" xfId="0" applyFont="1" applyBorder="1"/>
    <xf numFmtId="0" fontId="39" fillId="0" borderId="11" xfId="0" applyFont="1" applyBorder="1"/>
    <xf numFmtId="0" fontId="39" fillId="0" borderId="0" xfId="0" applyFont="1"/>
    <xf numFmtId="0" fontId="39" fillId="0" borderId="4" xfId="0" applyFont="1" applyBorder="1"/>
    <xf numFmtId="0" fontId="39" fillId="0" borderId="5" xfId="0" applyFont="1" applyBorder="1"/>
    <xf numFmtId="3" fontId="39" fillId="0" borderId="5" xfId="0" applyNumberFormat="1" applyFont="1" applyBorder="1"/>
    <xf numFmtId="0" fontId="9" fillId="10" borderId="0" xfId="2" applyFont="1" applyFill="1" applyAlignment="1">
      <alignment vertical="center"/>
    </xf>
    <xf numFmtId="0" fontId="9" fillId="0" borderId="14" xfId="2" applyFont="1" applyBorder="1" applyAlignment="1">
      <alignment horizontal="center" vertical="center" wrapText="1"/>
    </xf>
    <xf numFmtId="0" fontId="10" fillId="0" borderId="13" xfId="0" applyFont="1" applyBorder="1"/>
    <xf numFmtId="0" fontId="10" fillId="0" borderId="58" xfId="0" applyFont="1" applyBorder="1"/>
    <xf numFmtId="0" fontId="10" fillId="0" borderId="4" xfId="0" applyFont="1" applyBorder="1"/>
    <xf numFmtId="164" fontId="1" fillId="0" borderId="0" xfId="4" applyNumberFormat="1"/>
    <xf numFmtId="164" fontId="1" fillId="0" borderId="0" xfId="4" applyNumberFormat="1" applyAlignment="1">
      <alignment vertical="center"/>
    </xf>
    <xf numFmtId="0" fontId="17" fillId="7" borderId="5" xfId="0" applyFont="1" applyFill="1" applyBorder="1" applyAlignment="1">
      <alignment horizontal="center" vertical="center" textRotation="90" wrapText="1"/>
    </xf>
    <xf numFmtId="0" fontId="17" fillId="7" borderId="20" xfId="0" applyFont="1" applyFill="1" applyBorder="1" applyAlignment="1">
      <alignment horizontal="center" vertical="center" textRotation="90" wrapText="1"/>
    </xf>
    <xf numFmtId="0" fontId="17" fillId="7" borderId="18" xfId="0" applyFont="1" applyFill="1" applyBorder="1" applyAlignment="1">
      <alignment horizontal="center" vertical="center" textRotation="90" wrapText="1"/>
    </xf>
    <xf numFmtId="167" fontId="9" fillId="11" borderId="28" xfId="4" applyNumberFormat="1" applyFont="1" applyFill="1" applyBorder="1"/>
    <xf numFmtId="167" fontId="9" fillId="5" borderId="36" xfId="4" applyNumberFormat="1" applyFont="1" applyFill="1" applyBorder="1"/>
    <xf numFmtId="0" fontId="9" fillId="5" borderId="6" xfId="4" applyFont="1" applyFill="1" applyBorder="1"/>
    <xf numFmtId="0" fontId="9" fillId="5" borderId="12" xfId="4" applyFont="1" applyFill="1" applyBorder="1"/>
    <xf numFmtId="0" fontId="9" fillId="5" borderId="30" xfId="4" applyFont="1" applyFill="1" applyBorder="1"/>
    <xf numFmtId="167" fontId="9" fillId="5" borderId="32" xfId="4" applyNumberFormat="1" applyFont="1" applyFill="1" applyBorder="1"/>
    <xf numFmtId="0" fontId="9" fillId="5" borderId="0" xfId="4" applyFont="1" applyFill="1"/>
    <xf numFmtId="167" fontId="9" fillId="5" borderId="31" xfId="4" applyNumberFormat="1" applyFont="1" applyFill="1" applyBorder="1"/>
    <xf numFmtId="0" fontId="9" fillId="5" borderId="32" xfId="4" applyFont="1" applyFill="1" applyBorder="1"/>
    <xf numFmtId="0" fontId="9" fillId="5" borderId="68" xfId="4" applyFont="1" applyFill="1" applyBorder="1"/>
    <xf numFmtId="9" fontId="9" fillId="5" borderId="31" xfId="7" applyFont="1" applyFill="1" applyBorder="1"/>
    <xf numFmtId="167" fontId="2" fillId="5" borderId="23" xfId="4" applyNumberFormat="1" applyFont="1" applyFill="1" applyBorder="1"/>
    <xf numFmtId="0" fontId="10" fillId="5" borderId="0" xfId="4" applyFont="1" applyFill="1" applyAlignment="1">
      <alignment horizontal="center"/>
    </xf>
    <xf numFmtId="0" fontId="9" fillId="5" borderId="31" xfId="4" applyFont="1" applyFill="1" applyBorder="1"/>
    <xf numFmtId="0" fontId="9" fillId="5" borderId="29" xfId="4" applyFont="1" applyFill="1" applyBorder="1"/>
    <xf numFmtId="0" fontId="9" fillId="5" borderId="38" xfId="4" applyFont="1" applyFill="1" applyBorder="1"/>
    <xf numFmtId="0" fontId="9" fillId="5" borderId="40" xfId="4" applyFont="1" applyFill="1" applyBorder="1"/>
    <xf numFmtId="0" fontId="9" fillId="5" borderId="25" xfId="4" applyFont="1" applyFill="1" applyBorder="1"/>
    <xf numFmtId="167" fontId="9" fillId="5" borderId="29" xfId="4" applyNumberFormat="1" applyFont="1" applyFill="1" applyBorder="1"/>
    <xf numFmtId="168" fontId="9" fillId="5" borderId="25" xfId="4" applyNumberFormat="1" applyFont="1" applyFill="1" applyBorder="1"/>
    <xf numFmtId="167" fontId="9" fillId="5" borderId="25" xfId="4" applyNumberFormat="1" applyFont="1" applyFill="1" applyBorder="1"/>
    <xf numFmtId="167" fontId="40" fillId="0" borderId="28" xfId="4" applyNumberFormat="1" applyFont="1" applyBorder="1"/>
    <xf numFmtId="0" fontId="9" fillId="11" borderId="28" xfId="4" applyFont="1" applyFill="1" applyBorder="1"/>
    <xf numFmtId="167" fontId="10" fillId="0" borderId="0" xfId="4" applyNumberFormat="1" applyFont="1"/>
    <xf numFmtId="0" fontId="1" fillId="5" borderId="1" xfId="0" applyFont="1" applyFill="1" applyBorder="1" applyAlignment="1">
      <alignment horizontal="left" vertical="center" wrapText="1"/>
    </xf>
    <xf numFmtId="0" fontId="1" fillId="5" borderId="77" xfId="0" applyFont="1" applyFill="1" applyBorder="1" applyAlignment="1">
      <alignment horizontal="left" vertical="center" wrapText="1"/>
    </xf>
    <xf numFmtId="0" fontId="1" fillId="5" borderId="27" xfId="0" applyFont="1" applyFill="1" applyBorder="1" applyAlignment="1">
      <alignment horizontal="left" vertical="center" wrapText="1"/>
    </xf>
    <xf numFmtId="0" fontId="21" fillId="0" borderId="28" xfId="0" applyFont="1" applyBorder="1" applyAlignment="1">
      <alignment horizontal="center" vertical="center"/>
    </xf>
    <xf numFmtId="0" fontId="22" fillId="9" borderId="28" xfId="0" applyFont="1" applyFill="1" applyBorder="1" applyAlignment="1">
      <alignment horizontal="center" vertical="center" wrapText="1"/>
    </xf>
    <xf numFmtId="0" fontId="22" fillId="9" borderId="28" xfId="0" applyFont="1" applyFill="1" applyBorder="1" applyAlignment="1">
      <alignment horizontal="center" vertical="center"/>
    </xf>
    <xf numFmtId="0" fontId="23" fillId="0" borderId="28" xfId="0" applyFont="1" applyBorder="1" applyAlignment="1">
      <alignment horizontal="center" vertical="center"/>
    </xf>
    <xf numFmtId="0" fontId="23" fillId="0" borderId="28" xfId="0" applyFont="1" applyBorder="1" applyAlignment="1">
      <alignment vertical="center" wrapText="1"/>
    </xf>
    <xf numFmtId="0" fontId="24" fillId="0" borderId="28" xfId="0" applyFont="1" applyBorder="1" applyAlignment="1">
      <alignment horizontal="center" vertical="center" wrapText="1"/>
    </xf>
    <xf numFmtId="0" fontId="26" fillId="0" borderId="28" xfId="0" applyFont="1" applyBorder="1" applyAlignment="1">
      <alignment horizontal="center" vertical="center"/>
    </xf>
    <xf numFmtId="0" fontId="27" fillId="9" borderId="28" xfId="0" applyFont="1" applyFill="1" applyBorder="1" applyAlignment="1">
      <alignment horizontal="center" vertical="center" wrapText="1"/>
    </xf>
    <xf numFmtId="0" fontId="27" fillId="9" borderId="28" xfId="0" applyFont="1" applyFill="1" applyBorder="1" applyAlignment="1">
      <alignment horizontal="center" vertical="center"/>
    </xf>
    <xf numFmtId="0" fontId="23" fillId="0" borderId="28" xfId="0" applyFont="1" applyBorder="1" applyAlignment="1">
      <alignment horizontal="center" vertical="center" wrapText="1"/>
    </xf>
    <xf numFmtId="0" fontId="24" fillId="0" borderId="28" xfId="0" applyFont="1" applyBorder="1" applyAlignment="1">
      <alignment vertical="center" wrapText="1"/>
    </xf>
    <xf numFmtId="0" fontId="28" fillId="0" borderId="28" xfId="0" applyFont="1" applyBorder="1" applyAlignment="1">
      <alignment horizontal="center" vertical="center" wrapText="1"/>
    </xf>
    <xf numFmtId="0" fontId="30" fillId="0" borderId="0" xfId="4" applyFont="1" applyAlignment="1">
      <alignment horizontal="center"/>
    </xf>
    <xf numFmtId="49" fontId="10" fillId="7" borderId="6" xfId="3" applyFont="1" applyFill="1" applyBorder="1" applyAlignment="1">
      <alignment horizontal="center" vertical="center" wrapText="1"/>
    </xf>
    <xf numFmtId="49" fontId="10" fillId="7" borderId="21" xfId="3" applyFont="1" applyFill="1" applyBorder="1" applyAlignment="1">
      <alignment horizontal="center" vertical="center" wrapText="1"/>
    </xf>
    <xf numFmtId="49" fontId="10" fillId="7" borderId="12" xfId="3" applyFont="1" applyFill="1" applyBorder="1" applyAlignment="1">
      <alignment horizontal="center" vertical="center" wrapText="1"/>
    </xf>
    <xf numFmtId="49" fontId="10" fillId="7" borderId="11" xfId="3" applyFont="1" applyFill="1" applyBorder="1" applyAlignment="1">
      <alignment horizontal="center" vertical="center" wrapText="1"/>
    </xf>
    <xf numFmtId="49" fontId="10" fillId="7" borderId="49" xfId="3" applyFont="1" applyFill="1" applyBorder="1" applyAlignment="1">
      <alignment horizontal="center" vertical="center" wrapText="1"/>
    </xf>
    <xf numFmtId="0" fontId="6" fillId="7" borderId="19" xfId="0" applyFont="1" applyFill="1" applyBorder="1" applyAlignment="1">
      <alignment horizontal="center" wrapText="1"/>
    </xf>
    <xf numFmtId="0" fontId="6" fillId="7" borderId="20" xfId="0" applyFont="1" applyFill="1" applyBorder="1" applyAlignment="1">
      <alignment horizontal="center" wrapText="1"/>
    </xf>
    <xf numFmtId="0" fontId="6" fillId="7" borderId="18" xfId="0" applyFont="1" applyFill="1" applyBorder="1" applyAlignment="1">
      <alignment horizontal="center" wrapText="1"/>
    </xf>
    <xf numFmtId="0" fontId="6" fillId="7" borderId="6" xfId="0" applyFont="1" applyFill="1" applyBorder="1" applyAlignment="1">
      <alignment horizontal="center" wrapText="1"/>
    </xf>
    <xf numFmtId="0" fontId="6" fillId="7" borderId="49" xfId="0" applyFont="1" applyFill="1" applyBorder="1" applyAlignment="1">
      <alignment horizontal="center" wrapText="1"/>
    </xf>
    <xf numFmtId="0" fontId="6" fillId="7" borderId="12" xfId="0" applyFont="1" applyFill="1" applyBorder="1" applyAlignment="1">
      <alignment horizontal="center" vertical="center"/>
    </xf>
    <xf numFmtId="0" fontId="6" fillId="7" borderId="11" xfId="0" applyFont="1" applyFill="1" applyBorder="1" applyAlignment="1">
      <alignment horizontal="center" vertical="center"/>
    </xf>
    <xf numFmtId="0" fontId="17" fillId="7" borderId="5" xfId="0" applyFont="1" applyFill="1" applyBorder="1" applyAlignment="1">
      <alignment horizontal="center" vertical="center"/>
    </xf>
    <xf numFmtId="0" fontId="17" fillId="7" borderId="11" xfId="0" applyFont="1" applyFill="1" applyBorder="1" applyAlignment="1">
      <alignment horizontal="center" vertical="center"/>
    </xf>
    <xf numFmtId="0" fontId="17" fillId="7" borderId="5" xfId="0" applyFont="1" applyFill="1" applyBorder="1" applyAlignment="1">
      <alignment horizontal="center"/>
    </xf>
    <xf numFmtId="0" fontId="17" fillId="7" borderId="20" xfId="0" applyFont="1" applyFill="1" applyBorder="1" applyAlignment="1">
      <alignment horizontal="center"/>
    </xf>
    <xf numFmtId="0" fontId="17" fillId="7" borderId="18" xfId="0" applyFont="1" applyFill="1" applyBorder="1" applyAlignment="1">
      <alignment horizontal="center"/>
    </xf>
    <xf numFmtId="0" fontId="17" fillId="7" borderId="19" xfId="0" applyFont="1" applyFill="1" applyBorder="1" applyAlignment="1">
      <alignment horizontal="center"/>
    </xf>
    <xf numFmtId="49" fontId="10" fillId="7" borderId="32" xfId="3" applyFont="1" applyFill="1" applyBorder="1" applyAlignment="1">
      <alignment horizontal="center" vertical="center" wrapText="1"/>
    </xf>
    <xf numFmtId="49" fontId="10" fillId="7" borderId="31" xfId="3" applyFont="1" applyFill="1" applyBorder="1" applyAlignment="1">
      <alignment horizontal="center" vertical="center" wrapText="1"/>
    </xf>
    <xf numFmtId="0" fontId="10" fillId="7" borderId="12" xfId="4" applyFont="1" applyFill="1" applyBorder="1" applyAlignment="1">
      <alignment horizontal="center" vertical="center"/>
    </xf>
    <xf numFmtId="0" fontId="10" fillId="7" borderId="11" xfId="4" applyFont="1" applyFill="1" applyBorder="1" applyAlignment="1">
      <alignment horizontal="center" vertical="center"/>
    </xf>
    <xf numFmtId="0" fontId="10" fillId="7" borderId="12" xfId="4" applyFont="1" applyFill="1" applyBorder="1" applyAlignment="1">
      <alignment horizontal="center" vertical="center" wrapText="1"/>
    </xf>
    <xf numFmtId="0" fontId="10" fillId="7" borderId="11" xfId="4" applyFont="1" applyFill="1" applyBorder="1" applyAlignment="1">
      <alignment horizontal="center" vertical="center" wrapText="1"/>
    </xf>
    <xf numFmtId="49" fontId="10" fillId="7" borderId="30" xfId="3" applyFont="1" applyFill="1" applyBorder="1" applyAlignment="1">
      <alignment horizontal="center" vertical="center"/>
    </xf>
    <xf numFmtId="49" fontId="10" fillId="7" borderId="32" xfId="3" applyFont="1" applyFill="1" applyBorder="1" applyAlignment="1">
      <alignment horizontal="center" vertical="center"/>
    </xf>
    <xf numFmtId="49" fontId="10" fillId="7" borderId="31" xfId="3" applyFont="1" applyFill="1" applyBorder="1" applyAlignment="1">
      <alignment horizontal="center" vertical="center"/>
    </xf>
    <xf numFmtId="49" fontId="10" fillId="7" borderId="30" xfId="3" applyFont="1" applyFill="1" applyBorder="1" applyAlignment="1">
      <alignment horizontal="center" vertical="center" wrapText="1"/>
    </xf>
    <xf numFmtId="49" fontId="10" fillId="7" borderId="68" xfId="3" applyFont="1" applyFill="1" applyBorder="1" applyAlignment="1">
      <alignment horizontal="center" vertical="center" wrapText="1"/>
    </xf>
    <xf numFmtId="0" fontId="6" fillId="7" borderId="65" xfId="2" applyFont="1" applyFill="1" applyBorder="1" applyAlignment="1">
      <alignment horizontal="center" vertical="center"/>
    </xf>
    <xf numFmtId="0" fontId="6" fillId="7" borderId="69" xfId="2" applyFont="1" applyFill="1" applyBorder="1" applyAlignment="1">
      <alignment horizontal="center" vertical="center"/>
    </xf>
    <xf numFmtId="0" fontId="6" fillId="7" borderId="62" xfId="2" applyFont="1" applyFill="1" applyBorder="1" applyAlignment="1">
      <alignment horizontal="center" vertical="center"/>
    </xf>
    <xf numFmtId="0" fontId="10" fillId="7" borderId="49" xfId="2" applyFont="1" applyFill="1" applyBorder="1" applyAlignment="1">
      <alignment horizontal="center" vertical="center"/>
    </xf>
    <xf numFmtId="0" fontId="10" fillId="7" borderId="19" xfId="2" applyFont="1" applyFill="1" applyBorder="1" applyAlignment="1">
      <alignment horizontal="center" vertical="center"/>
    </xf>
    <xf numFmtId="0" fontId="10" fillId="7" borderId="18" xfId="2" applyFont="1" applyFill="1" applyBorder="1" applyAlignment="1">
      <alignment horizontal="center" vertical="center"/>
    </xf>
    <xf numFmtId="0" fontId="10" fillId="7" borderId="20" xfId="2" applyFont="1" applyFill="1" applyBorder="1" applyAlignment="1">
      <alignment horizontal="center" vertical="center"/>
    </xf>
    <xf numFmtId="0" fontId="10" fillId="7" borderId="19" xfId="0" applyFont="1" applyFill="1" applyBorder="1" applyAlignment="1">
      <alignment horizontal="center" wrapText="1"/>
    </xf>
    <xf numFmtId="0" fontId="10" fillId="7" borderId="18" xfId="0" applyFont="1" applyFill="1" applyBorder="1" applyAlignment="1">
      <alignment horizontal="center" wrapText="1"/>
    </xf>
    <xf numFmtId="0" fontId="10" fillId="7" borderId="12" xfId="0" applyFont="1" applyFill="1" applyBorder="1" applyAlignment="1">
      <alignment horizontal="center" vertical="center" wrapText="1"/>
    </xf>
    <xf numFmtId="0" fontId="10" fillId="7" borderId="14" xfId="0" applyFont="1" applyFill="1" applyBorder="1" applyAlignment="1">
      <alignment horizontal="center" vertical="center" wrapText="1"/>
    </xf>
    <xf numFmtId="0" fontId="9" fillId="7" borderId="11" xfId="0" applyFont="1" applyFill="1" applyBorder="1" applyAlignment="1">
      <alignment horizontal="center" vertical="center" wrapText="1"/>
    </xf>
    <xf numFmtId="0" fontId="10" fillId="7" borderId="20" xfId="0" applyFont="1" applyFill="1" applyBorder="1" applyAlignment="1">
      <alignment horizontal="center"/>
    </xf>
    <xf numFmtId="0" fontId="10" fillId="7" borderId="19" xfId="0" applyFont="1" applyFill="1" applyBorder="1" applyAlignment="1">
      <alignment horizontal="center"/>
    </xf>
    <xf numFmtId="0" fontId="10" fillId="7" borderId="18" xfId="0" applyFont="1" applyFill="1" applyBorder="1" applyAlignment="1">
      <alignment horizontal="center"/>
    </xf>
    <xf numFmtId="0" fontId="10" fillId="7" borderId="30" xfId="2" applyFont="1" applyFill="1" applyBorder="1" applyAlignment="1">
      <alignment horizontal="center" vertical="center" wrapText="1"/>
    </xf>
    <xf numFmtId="0" fontId="10" fillId="7" borderId="39" xfId="2" applyFont="1" applyFill="1" applyBorder="1" applyAlignment="1">
      <alignment horizontal="center" vertical="center" wrapText="1"/>
    </xf>
    <xf numFmtId="0" fontId="10" fillId="7" borderId="33" xfId="2" applyFont="1" applyFill="1" applyBorder="1" applyAlignment="1">
      <alignment horizontal="center" vertical="center" wrapText="1"/>
    </xf>
    <xf numFmtId="0" fontId="10" fillId="7" borderId="42" xfId="2" applyFont="1" applyFill="1" applyBorder="1" applyAlignment="1">
      <alignment horizontal="center" vertical="center" wrapText="1"/>
    </xf>
    <xf numFmtId="0" fontId="10" fillId="7" borderId="31" xfId="2" applyFont="1" applyFill="1" applyBorder="1" applyAlignment="1">
      <alignment horizontal="center" vertical="center" wrapText="1"/>
    </xf>
    <xf numFmtId="0" fontId="10" fillId="7" borderId="40" xfId="2" applyFont="1" applyFill="1" applyBorder="1" applyAlignment="1">
      <alignment horizontal="center" vertical="center" wrapText="1"/>
    </xf>
    <xf numFmtId="0" fontId="10" fillId="7" borderId="6" xfId="2" applyFont="1" applyFill="1" applyBorder="1" applyAlignment="1">
      <alignment horizontal="center" vertical="center" wrapText="1"/>
    </xf>
    <xf numFmtId="0" fontId="10" fillId="7" borderId="19" xfId="2" applyFont="1" applyFill="1" applyBorder="1" applyAlignment="1">
      <alignment horizontal="center" vertical="center" wrapText="1"/>
    </xf>
    <xf numFmtId="0" fontId="10" fillId="7" borderId="65" xfId="2" applyFont="1" applyFill="1" applyBorder="1" applyAlignment="1">
      <alignment horizontal="center" vertical="center" wrapText="1"/>
    </xf>
    <xf numFmtId="0" fontId="10" fillId="7" borderId="68" xfId="2" applyFont="1" applyFill="1" applyBorder="1" applyAlignment="1">
      <alignment horizontal="center" vertical="center" wrapText="1"/>
    </xf>
    <xf numFmtId="0" fontId="10" fillId="7" borderId="53" xfId="2" applyFont="1" applyFill="1" applyBorder="1" applyAlignment="1">
      <alignment horizontal="center" vertical="center" wrapText="1"/>
    </xf>
    <xf numFmtId="0" fontId="10" fillId="7" borderId="66" xfId="2" applyFont="1" applyFill="1" applyBorder="1" applyAlignment="1">
      <alignment horizontal="center" vertical="center" wrapText="1"/>
    </xf>
    <xf numFmtId="0" fontId="10" fillId="7" borderId="67" xfId="2" applyFont="1" applyFill="1" applyBorder="1" applyAlignment="1">
      <alignment horizontal="center" vertical="center" wrapText="1"/>
    </xf>
    <xf numFmtId="0" fontId="6" fillId="7" borderId="12" xfId="2" applyFont="1" applyFill="1" applyBorder="1" applyAlignment="1">
      <alignment horizontal="center" vertical="center"/>
    </xf>
    <xf numFmtId="0" fontId="6" fillId="7" borderId="5" xfId="2" applyFont="1" applyFill="1" applyBorder="1" applyAlignment="1">
      <alignment horizontal="center" vertical="center"/>
    </xf>
    <xf numFmtId="0" fontId="6" fillId="7" borderId="11" xfId="2" applyFont="1" applyFill="1" applyBorder="1" applyAlignment="1">
      <alignment horizontal="center" vertical="center"/>
    </xf>
    <xf numFmtId="0" fontId="2" fillId="7" borderId="55" xfId="2" applyFont="1" applyFill="1" applyBorder="1" applyAlignment="1">
      <alignment horizontal="center" vertical="center"/>
    </xf>
    <xf numFmtId="0" fontId="2" fillId="7" borderId="44" xfId="2" applyFont="1" applyFill="1" applyBorder="1" applyAlignment="1">
      <alignment horizontal="center" vertical="center"/>
    </xf>
    <xf numFmtId="0" fontId="10" fillId="8" borderId="19" xfId="4" applyFont="1" applyFill="1" applyBorder="1" applyAlignment="1">
      <alignment horizontal="center"/>
    </xf>
    <xf numFmtId="0" fontId="10" fillId="8" borderId="20" xfId="4" applyFont="1" applyFill="1" applyBorder="1" applyAlignment="1">
      <alignment horizontal="center"/>
    </xf>
    <xf numFmtId="0" fontId="10" fillId="8" borderId="5" xfId="4" applyFont="1" applyFill="1" applyBorder="1" applyAlignment="1">
      <alignment horizontal="center" vertical="center"/>
    </xf>
    <xf numFmtId="0" fontId="10" fillId="8" borderId="14" xfId="4" applyFont="1" applyFill="1" applyBorder="1" applyAlignment="1">
      <alignment horizontal="center" vertical="center"/>
    </xf>
    <xf numFmtId="165" fontId="10" fillId="7" borderId="19" xfId="0" applyNumberFormat="1" applyFont="1" applyFill="1" applyBorder="1" applyAlignment="1">
      <alignment horizontal="center" vertical="center" wrapText="1"/>
    </xf>
    <xf numFmtId="165" fontId="10" fillId="7" borderId="20" xfId="0" applyNumberFormat="1" applyFont="1" applyFill="1" applyBorder="1" applyAlignment="1">
      <alignment horizontal="center" vertical="center" wrapText="1"/>
    </xf>
    <xf numFmtId="165" fontId="10" fillId="7" borderId="18" xfId="0" applyNumberFormat="1" applyFont="1" applyFill="1" applyBorder="1" applyAlignment="1">
      <alignment horizontal="center" vertical="center" wrapText="1"/>
    </xf>
    <xf numFmtId="0" fontId="10" fillId="7" borderId="19" xfId="0" applyFont="1" applyFill="1" applyBorder="1" applyAlignment="1">
      <alignment horizontal="center" vertical="center" wrapText="1"/>
    </xf>
    <xf numFmtId="0" fontId="10" fillId="7" borderId="20" xfId="0" applyFont="1" applyFill="1" applyBorder="1" applyAlignment="1">
      <alignment horizontal="center" vertical="center" wrapText="1"/>
    </xf>
    <xf numFmtId="0" fontId="10" fillId="7" borderId="18" xfId="0" applyFont="1" applyFill="1" applyBorder="1" applyAlignment="1">
      <alignment horizontal="center" vertical="center" wrapText="1"/>
    </xf>
    <xf numFmtId="0" fontId="10" fillId="7" borderId="43" xfId="0" applyFont="1" applyFill="1" applyBorder="1" applyAlignment="1">
      <alignment horizontal="center" vertical="center" wrapText="1"/>
    </xf>
    <xf numFmtId="0" fontId="10" fillId="7" borderId="16" xfId="0" applyFont="1" applyFill="1" applyBorder="1" applyAlignment="1">
      <alignment horizontal="center" vertical="center" wrapText="1"/>
    </xf>
    <xf numFmtId="0" fontId="10" fillId="7" borderId="17" xfId="0" applyFont="1" applyFill="1" applyBorder="1" applyAlignment="1">
      <alignment horizontal="center" vertical="center" wrapText="1"/>
    </xf>
    <xf numFmtId="0" fontId="10" fillId="7" borderId="44" xfId="0" applyFont="1" applyFill="1" applyBorder="1" applyAlignment="1">
      <alignment horizontal="center" vertical="center" wrapText="1"/>
    </xf>
    <xf numFmtId="0" fontId="10" fillId="7" borderId="11" xfId="0" applyFont="1" applyFill="1" applyBorder="1" applyAlignment="1">
      <alignment horizontal="center" vertical="center" wrapText="1"/>
    </xf>
    <xf numFmtId="0" fontId="10" fillId="7" borderId="21" xfId="0" applyFont="1" applyFill="1" applyBorder="1" applyAlignment="1">
      <alignment horizontal="center" vertical="center" wrapText="1"/>
    </xf>
    <xf numFmtId="0" fontId="10" fillId="7" borderId="8" xfId="0" applyFont="1" applyFill="1" applyBorder="1" applyAlignment="1">
      <alignment horizontal="center" vertical="center" wrapText="1"/>
    </xf>
  </cellXfs>
  <cellStyles count="9">
    <cellStyle name="Millares" xfId="5" builtinId="3"/>
    <cellStyle name="Millares 2" xfId="6" xr:uid="{00000000-0005-0000-0000-000001000000}"/>
    <cellStyle name="Millares 3" xfId="8" xr:uid="{00000000-0005-0000-0000-000002000000}"/>
    <cellStyle name="Normal" xfId="0" builtinId="0"/>
    <cellStyle name="Normal 2" xfId="4" xr:uid="{00000000-0005-0000-0000-000004000000}"/>
    <cellStyle name="Normal_ESTR98" xfId="1" xr:uid="{00000000-0005-0000-0000-000005000000}"/>
    <cellStyle name="Normal_PLAZAS98" xfId="2" xr:uid="{00000000-0005-0000-0000-000006000000}"/>
    <cellStyle name="Normal_SPGG98" xfId="3" xr:uid="{00000000-0005-0000-0000-000007000000}"/>
    <cellStyle name="Porcentaje 2" xfId="7" xr:uid="{00000000-0005-0000-0000-000008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rgb="FFFFFF00"/>
  </sheetPr>
  <dimension ref="A1:SR34"/>
  <sheetViews>
    <sheetView view="pageLayout" topLeftCell="A10" zoomScaleNormal="100" zoomScaleSheetLayoutView="100" workbookViewId="0">
      <selection activeCell="G20" sqref="G20"/>
    </sheetView>
  </sheetViews>
  <sheetFormatPr baseColWidth="10" defaultColWidth="11.42578125" defaultRowHeight="12.75" x14ac:dyDescent="0.2"/>
  <cols>
    <col min="1" max="1" width="19.85546875" style="98" customWidth="1"/>
    <col min="2" max="2" width="69.85546875" style="99" customWidth="1"/>
    <col min="3" max="5" width="8.7109375" style="98" customWidth="1"/>
    <col min="6" max="16384" width="11.42578125" style="98"/>
  </cols>
  <sheetData>
    <row r="1" spans="1:512" s="97" customFormat="1" ht="15.75" x14ac:dyDescent="0.2">
      <c r="A1" s="95" t="s">
        <v>404</v>
      </c>
      <c r="B1" s="96"/>
      <c r="F1" s="102"/>
      <c r="G1" s="102"/>
      <c r="H1" s="102"/>
      <c r="I1" s="102"/>
      <c r="J1" s="102"/>
      <c r="K1" s="102"/>
      <c r="L1" s="102"/>
      <c r="M1" s="102"/>
      <c r="N1" s="102"/>
      <c r="O1" s="102"/>
      <c r="P1" s="102"/>
      <c r="Q1" s="102"/>
      <c r="R1" s="102"/>
      <c r="S1" s="102"/>
      <c r="T1" s="102"/>
      <c r="U1" s="102"/>
      <c r="V1" s="102"/>
      <c r="W1" s="102"/>
      <c r="X1" s="102"/>
      <c r="Y1" s="102"/>
      <c r="Z1" s="102"/>
      <c r="AA1" s="102"/>
      <c r="AB1" s="102"/>
      <c r="AC1" s="102"/>
      <c r="AD1" s="102"/>
      <c r="AE1" s="102"/>
      <c r="AF1" s="102"/>
      <c r="AG1" s="102"/>
      <c r="AH1" s="102"/>
      <c r="AI1" s="102"/>
      <c r="AJ1" s="102"/>
      <c r="AK1" s="102"/>
      <c r="AL1" s="102"/>
      <c r="AM1" s="102"/>
      <c r="AN1" s="102"/>
      <c r="AO1" s="102"/>
      <c r="AP1" s="102"/>
      <c r="AQ1" s="102"/>
      <c r="AR1" s="102"/>
      <c r="AS1" s="102"/>
      <c r="AT1" s="102"/>
      <c r="AU1" s="102"/>
      <c r="AV1" s="102"/>
      <c r="AW1" s="102"/>
      <c r="AX1" s="102"/>
      <c r="AY1" s="102"/>
      <c r="AZ1" s="102"/>
      <c r="BA1" s="102"/>
      <c r="BB1" s="102"/>
      <c r="BC1" s="102"/>
      <c r="BD1" s="102"/>
      <c r="BE1" s="102"/>
      <c r="BF1" s="102"/>
      <c r="BG1" s="102"/>
      <c r="BH1" s="102"/>
      <c r="BI1" s="102"/>
      <c r="BJ1" s="102"/>
      <c r="BK1" s="102"/>
      <c r="BL1" s="102"/>
      <c r="BM1" s="102"/>
      <c r="BN1" s="102"/>
      <c r="BO1" s="102"/>
      <c r="BP1" s="102"/>
      <c r="BQ1" s="102"/>
      <c r="BR1" s="102"/>
      <c r="BS1" s="102"/>
      <c r="BT1" s="102"/>
      <c r="BU1" s="102"/>
      <c r="BV1" s="102"/>
      <c r="BW1" s="102"/>
      <c r="BX1" s="102"/>
      <c r="BY1" s="102"/>
      <c r="BZ1" s="102"/>
      <c r="CA1" s="102"/>
      <c r="CB1" s="102"/>
      <c r="CC1" s="102"/>
      <c r="CD1" s="102"/>
      <c r="CE1" s="102"/>
      <c r="CF1" s="102"/>
      <c r="CG1" s="102"/>
      <c r="CH1" s="102"/>
      <c r="CI1" s="102"/>
      <c r="CJ1" s="102"/>
      <c r="CK1" s="102"/>
      <c r="CL1" s="102"/>
      <c r="CM1" s="102"/>
      <c r="CN1" s="102"/>
      <c r="CO1" s="102"/>
      <c r="CP1" s="102"/>
      <c r="CQ1" s="102"/>
      <c r="CR1" s="102"/>
      <c r="CS1" s="102"/>
      <c r="CT1" s="102"/>
      <c r="CU1" s="102"/>
      <c r="CV1" s="102"/>
      <c r="CW1" s="102"/>
      <c r="CX1" s="102"/>
      <c r="CY1" s="102"/>
      <c r="CZ1" s="102"/>
      <c r="DA1" s="102"/>
      <c r="DB1" s="102"/>
      <c r="DC1" s="102"/>
      <c r="DD1" s="102"/>
      <c r="DE1" s="102"/>
      <c r="DF1" s="102"/>
      <c r="DG1" s="102"/>
      <c r="DH1" s="102"/>
      <c r="DI1" s="102"/>
      <c r="DJ1" s="102"/>
      <c r="DK1" s="102"/>
      <c r="DL1" s="102"/>
      <c r="DM1" s="102"/>
      <c r="DN1" s="102"/>
      <c r="DO1" s="102"/>
      <c r="DP1" s="102"/>
      <c r="DQ1" s="102"/>
      <c r="DR1" s="102"/>
      <c r="DS1" s="102"/>
      <c r="DT1" s="102"/>
      <c r="DU1" s="102"/>
      <c r="DV1" s="102"/>
      <c r="DW1" s="102"/>
      <c r="DX1" s="102"/>
      <c r="DY1" s="102"/>
      <c r="DZ1" s="102"/>
      <c r="EA1" s="102"/>
      <c r="EB1" s="102"/>
      <c r="EC1" s="102"/>
      <c r="ED1" s="102"/>
      <c r="EE1" s="102"/>
      <c r="EF1" s="102"/>
      <c r="EG1" s="102"/>
      <c r="EH1" s="102"/>
      <c r="EI1" s="102"/>
      <c r="EJ1" s="102"/>
      <c r="EK1" s="102"/>
      <c r="EL1" s="102"/>
      <c r="EM1" s="102"/>
      <c r="EN1" s="102"/>
      <c r="EO1" s="102"/>
      <c r="EP1" s="102"/>
      <c r="EQ1" s="102"/>
      <c r="ER1" s="102"/>
      <c r="ES1" s="102"/>
      <c r="ET1" s="102"/>
      <c r="EU1" s="102"/>
      <c r="EV1" s="102"/>
      <c r="EW1" s="102"/>
      <c r="EX1" s="102"/>
      <c r="EY1" s="102"/>
      <c r="EZ1" s="102"/>
      <c r="FA1" s="102"/>
      <c r="FB1" s="102"/>
      <c r="FC1" s="102"/>
      <c r="FD1" s="102"/>
      <c r="FE1" s="102"/>
      <c r="FF1" s="102"/>
      <c r="FG1" s="102"/>
      <c r="FH1" s="102"/>
      <c r="FI1" s="102"/>
      <c r="FJ1" s="102"/>
      <c r="FK1" s="102"/>
      <c r="FL1" s="102"/>
      <c r="FM1" s="102"/>
      <c r="FN1" s="102"/>
      <c r="FO1" s="102"/>
      <c r="FP1" s="102"/>
      <c r="FQ1" s="102"/>
      <c r="FR1" s="102"/>
      <c r="FS1" s="102"/>
      <c r="FT1" s="102"/>
      <c r="FU1" s="102"/>
      <c r="FV1" s="102"/>
      <c r="FW1" s="102"/>
      <c r="FX1" s="102"/>
      <c r="FY1" s="102"/>
      <c r="FZ1" s="102"/>
      <c r="GA1" s="102"/>
      <c r="GB1" s="102"/>
      <c r="GC1" s="102"/>
      <c r="GD1" s="102"/>
      <c r="GE1" s="102"/>
      <c r="GF1" s="102"/>
      <c r="GG1" s="102"/>
      <c r="GH1" s="102"/>
      <c r="GI1" s="102"/>
      <c r="GJ1" s="102"/>
      <c r="GK1" s="102"/>
      <c r="GL1" s="102"/>
      <c r="GM1" s="102"/>
      <c r="GN1" s="102"/>
      <c r="GO1" s="102"/>
      <c r="GP1" s="102"/>
      <c r="GQ1" s="102"/>
      <c r="GR1" s="102"/>
      <c r="GS1" s="102"/>
      <c r="GT1" s="102"/>
      <c r="GU1" s="102"/>
      <c r="GV1" s="102"/>
      <c r="GW1" s="102"/>
      <c r="GX1" s="102"/>
      <c r="GY1" s="102"/>
      <c r="GZ1" s="102"/>
      <c r="HA1" s="102"/>
      <c r="HB1" s="102"/>
      <c r="HC1" s="102"/>
      <c r="HD1" s="102"/>
      <c r="HE1" s="102"/>
      <c r="HF1" s="102"/>
      <c r="HG1" s="102"/>
      <c r="HH1" s="102"/>
      <c r="HI1" s="102"/>
      <c r="HJ1" s="102"/>
      <c r="HK1" s="102"/>
      <c r="HL1" s="102"/>
      <c r="HM1" s="102"/>
      <c r="HN1" s="102"/>
      <c r="HO1" s="102"/>
      <c r="HP1" s="102"/>
      <c r="HQ1" s="102"/>
      <c r="HR1" s="102"/>
      <c r="HS1" s="102"/>
      <c r="HT1" s="102"/>
      <c r="HU1" s="102"/>
      <c r="HV1" s="102"/>
      <c r="HW1" s="102"/>
      <c r="HX1" s="102"/>
      <c r="HY1" s="102"/>
      <c r="HZ1" s="102"/>
      <c r="IA1" s="102"/>
      <c r="IB1" s="102"/>
      <c r="IC1" s="102"/>
      <c r="ID1" s="102"/>
      <c r="IE1" s="102"/>
      <c r="IF1" s="102"/>
      <c r="IG1" s="102"/>
      <c r="IH1" s="102"/>
      <c r="II1" s="102"/>
      <c r="IJ1" s="102"/>
      <c r="IK1" s="102"/>
      <c r="IL1" s="102"/>
      <c r="IM1" s="102"/>
      <c r="IN1" s="102"/>
      <c r="IO1" s="102"/>
      <c r="IP1" s="102"/>
      <c r="IQ1" s="102"/>
      <c r="IR1" s="102"/>
      <c r="IS1" s="102"/>
      <c r="IT1" s="102"/>
      <c r="IU1" s="102"/>
      <c r="IV1" s="102"/>
      <c r="IW1" s="102"/>
      <c r="IX1" s="102"/>
      <c r="IY1" s="102"/>
      <c r="IZ1" s="102"/>
      <c r="JA1" s="102"/>
      <c r="JB1" s="102"/>
      <c r="JC1" s="102"/>
      <c r="JD1" s="102"/>
      <c r="JE1" s="102"/>
      <c r="JF1" s="102"/>
      <c r="JG1" s="102"/>
      <c r="JH1" s="102"/>
      <c r="JI1" s="102"/>
      <c r="JJ1" s="102"/>
      <c r="JK1" s="102"/>
      <c r="JL1" s="102"/>
      <c r="JM1" s="102"/>
      <c r="JN1" s="102"/>
      <c r="JO1" s="102"/>
      <c r="JP1" s="102"/>
      <c r="JQ1" s="102"/>
      <c r="JR1" s="102"/>
      <c r="JS1" s="102"/>
      <c r="JT1" s="102"/>
      <c r="JU1" s="102"/>
      <c r="JV1" s="102"/>
      <c r="JW1" s="102"/>
      <c r="JX1" s="102"/>
      <c r="JY1" s="102"/>
      <c r="JZ1" s="102"/>
      <c r="KA1" s="102"/>
      <c r="KB1" s="102"/>
      <c r="KC1" s="102"/>
      <c r="KD1" s="102"/>
      <c r="KE1" s="102"/>
      <c r="KF1" s="102"/>
      <c r="KG1" s="102"/>
      <c r="KH1" s="102"/>
      <c r="KI1" s="102"/>
      <c r="KJ1" s="102"/>
      <c r="KK1" s="102"/>
      <c r="KL1" s="102"/>
      <c r="KM1" s="102"/>
      <c r="KN1" s="102"/>
      <c r="KO1" s="102"/>
      <c r="KP1" s="102"/>
      <c r="KQ1" s="102"/>
      <c r="KR1" s="102"/>
      <c r="KS1" s="102"/>
      <c r="KT1" s="102"/>
      <c r="KU1" s="102"/>
      <c r="KV1" s="102"/>
      <c r="KW1" s="102"/>
      <c r="KX1" s="102"/>
      <c r="KY1" s="102"/>
      <c r="KZ1" s="102"/>
      <c r="LA1" s="102"/>
      <c r="LB1" s="102"/>
      <c r="LC1" s="102"/>
      <c r="LD1" s="102"/>
      <c r="LE1" s="102"/>
      <c r="LF1" s="102"/>
      <c r="LG1" s="102"/>
      <c r="LH1" s="102"/>
      <c r="LI1" s="102"/>
      <c r="LJ1" s="102"/>
      <c r="LK1" s="102"/>
      <c r="LL1" s="102"/>
      <c r="LM1" s="102"/>
      <c r="LN1" s="102"/>
      <c r="LO1" s="102"/>
      <c r="LP1" s="102"/>
      <c r="LQ1" s="102"/>
      <c r="LR1" s="102"/>
      <c r="LS1" s="102"/>
      <c r="LT1" s="102"/>
      <c r="LU1" s="102"/>
      <c r="LV1" s="102"/>
      <c r="LW1" s="102"/>
      <c r="LX1" s="102"/>
      <c r="LY1" s="102"/>
      <c r="LZ1" s="102"/>
      <c r="MA1" s="102"/>
      <c r="MB1" s="102"/>
      <c r="MC1" s="102"/>
      <c r="MD1" s="102"/>
      <c r="ME1" s="102"/>
      <c r="MF1" s="102"/>
      <c r="MG1" s="102"/>
      <c r="MH1" s="102"/>
      <c r="MI1" s="102"/>
      <c r="MJ1" s="102"/>
      <c r="MK1" s="102"/>
      <c r="ML1" s="102"/>
      <c r="MM1" s="102"/>
      <c r="MN1" s="102"/>
      <c r="MO1" s="102"/>
      <c r="MP1" s="102"/>
      <c r="MQ1" s="102"/>
      <c r="MR1" s="102"/>
      <c r="MS1" s="102"/>
      <c r="MT1" s="102"/>
      <c r="MU1" s="102"/>
      <c r="MV1" s="102"/>
      <c r="MW1" s="102"/>
      <c r="MX1" s="102"/>
      <c r="MY1" s="102"/>
      <c r="MZ1" s="102"/>
      <c r="NA1" s="102"/>
      <c r="NB1" s="102"/>
      <c r="NC1" s="102"/>
      <c r="ND1" s="102"/>
      <c r="NE1" s="102"/>
      <c r="NF1" s="102"/>
      <c r="NG1" s="102"/>
      <c r="NH1" s="102"/>
      <c r="NI1" s="102"/>
      <c r="NJ1" s="102"/>
      <c r="NK1" s="102"/>
      <c r="NL1" s="102"/>
      <c r="NM1" s="102"/>
      <c r="NN1" s="102"/>
      <c r="NO1" s="102"/>
      <c r="NP1" s="102"/>
      <c r="NQ1" s="102"/>
      <c r="NR1" s="102"/>
      <c r="NS1" s="102"/>
      <c r="NT1" s="102"/>
      <c r="NU1" s="102"/>
      <c r="NV1" s="102"/>
      <c r="NW1" s="102"/>
      <c r="NX1" s="102"/>
      <c r="NY1" s="102"/>
      <c r="NZ1" s="102"/>
      <c r="OA1" s="102"/>
      <c r="OB1" s="102"/>
      <c r="OC1" s="102"/>
      <c r="OD1" s="102"/>
      <c r="OE1" s="102"/>
      <c r="OF1" s="102"/>
      <c r="OG1" s="102"/>
      <c r="OH1" s="102"/>
      <c r="OI1" s="102"/>
      <c r="OJ1" s="102"/>
      <c r="OK1" s="102"/>
      <c r="OL1" s="102"/>
      <c r="OM1" s="102"/>
      <c r="ON1" s="102"/>
      <c r="OO1" s="102"/>
      <c r="OP1" s="102"/>
      <c r="OQ1" s="102"/>
      <c r="OR1" s="102"/>
      <c r="OS1" s="102"/>
      <c r="OT1" s="102"/>
      <c r="OU1" s="102"/>
      <c r="OV1" s="102"/>
      <c r="OW1" s="102"/>
      <c r="OX1" s="102"/>
      <c r="OY1" s="102"/>
      <c r="OZ1" s="102"/>
      <c r="PA1" s="102"/>
      <c r="PB1" s="102"/>
      <c r="PC1" s="102"/>
      <c r="PD1" s="102"/>
      <c r="PE1" s="102"/>
      <c r="PF1" s="102"/>
      <c r="PG1" s="102"/>
      <c r="PH1" s="102"/>
      <c r="PI1" s="102"/>
      <c r="PJ1" s="102"/>
      <c r="PK1" s="102"/>
      <c r="PL1" s="102"/>
      <c r="PM1" s="102"/>
      <c r="PN1" s="102"/>
      <c r="PO1" s="102"/>
      <c r="PP1" s="102"/>
      <c r="PQ1" s="102"/>
      <c r="PR1" s="102"/>
      <c r="PS1" s="102"/>
      <c r="PT1" s="102"/>
      <c r="PU1" s="102"/>
      <c r="PV1" s="102"/>
      <c r="PW1" s="102"/>
      <c r="PX1" s="102"/>
      <c r="PY1" s="102"/>
      <c r="PZ1" s="102"/>
      <c r="QA1" s="102"/>
      <c r="QB1" s="102"/>
      <c r="QC1" s="102"/>
      <c r="QD1" s="102"/>
      <c r="QE1" s="102"/>
      <c r="QF1" s="102"/>
      <c r="QG1" s="102"/>
      <c r="QH1" s="102"/>
      <c r="QI1" s="102"/>
      <c r="QJ1" s="102"/>
      <c r="QK1" s="102"/>
      <c r="QL1" s="102"/>
      <c r="QM1" s="102"/>
      <c r="QN1" s="102"/>
      <c r="QO1" s="102"/>
      <c r="QP1" s="102"/>
      <c r="QQ1" s="102"/>
      <c r="QR1" s="102"/>
      <c r="QS1" s="102"/>
      <c r="QT1" s="102"/>
      <c r="QU1" s="102"/>
      <c r="QV1" s="102"/>
      <c r="QW1" s="102"/>
      <c r="QX1" s="102"/>
      <c r="QY1" s="102"/>
      <c r="QZ1" s="102"/>
      <c r="RA1" s="102"/>
      <c r="RB1" s="102"/>
      <c r="RC1" s="102"/>
      <c r="RD1" s="102"/>
      <c r="RE1" s="102"/>
      <c r="RF1" s="102"/>
      <c r="RG1" s="102"/>
      <c r="RH1" s="102"/>
      <c r="RI1" s="102"/>
      <c r="RJ1" s="102"/>
      <c r="RK1" s="102"/>
      <c r="RL1" s="102"/>
      <c r="RM1" s="102"/>
      <c r="RN1" s="102"/>
      <c r="RO1" s="102"/>
      <c r="RP1" s="102"/>
      <c r="RQ1" s="102"/>
      <c r="RR1" s="102"/>
      <c r="RS1" s="102"/>
      <c r="RT1" s="102"/>
      <c r="RU1" s="102"/>
      <c r="RV1" s="102"/>
      <c r="RW1" s="102"/>
      <c r="RX1" s="102"/>
      <c r="RY1" s="102"/>
      <c r="RZ1" s="102"/>
      <c r="SA1" s="102"/>
      <c r="SB1" s="102"/>
      <c r="SC1" s="102"/>
      <c r="SD1" s="102"/>
      <c r="SE1" s="102"/>
      <c r="SF1" s="102"/>
      <c r="SG1" s="102"/>
      <c r="SH1" s="102"/>
      <c r="SI1" s="102"/>
      <c r="SJ1" s="102"/>
      <c r="SK1" s="102"/>
      <c r="SL1" s="102"/>
      <c r="SM1" s="102"/>
      <c r="SN1" s="102"/>
      <c r="SO1" s="102"/>
      <c r="SP1" s="102"/>
      <c r="SQ1" s="102"/>
      <c r="SR1" s="102"/>
    </row>
    <row r="2" spans="1:512" x14ac:dyDescent="0.2">
      <c r="C2" s="100"/>
      <c r="D2" s="100"/>
      <c r="E2" s="100"/>
    </row>
    <row r="3" spans="1:512" x14ac:dyDescent="0.2">
      <c r="A3" s="101" t="s">
        <v>424</v>
      </c>
    </row>
    <row r="5" spans="1:512" s="240" customFormat="1" ht="27" customHeight="1" x14ac:dyDescent="0.2">
      <c r="A5" s="244" t="s">
        <v>406</v>
      </c>
      <c r="B5" s="568" t="s">
        <v>405</v>
      </c>
      <c r="C5" s="569"/>
      <c r="D5" s="569"/>
      <c r="E5" s="570"/>
    </row>
    <row r="6" spans="1:512" x14ac:dyDescent="0.2">
      <c r="A6" s="101"/>
      <c r="B6" s="239"/>
      <c r="C6" s="240"/>
      <c r="D6" s="240"/>
      <c r="E6" s="240"/>
    </row>
    <row r="7" spans="1:512" x14ac:dyDescent="0.2">
      <c r="A7" s="101" t="s">
        <v>425</v>
      </c>
      <c r="B7" s="239"/>
      <c r="C7" s="240"/>
      <c r="D7" s="240"/>
      <c r="E7" s="240"/>
    </row>
    <row r="8" spans="1:512" x14ac:dyDescent="0.2">
      <c r="A8" s="101"/>
      <c r="B8" s="239"/>
      <c r="C8" s="240"/>
      <c r="D8" s="240"/>
      <c r="E8" s="240"/>
    </row>
    <row r="9" spans="1:512" s="240" customFormat="1" ht="27" customHeight="1" x14ac:dyDescent="0.2">
      <c r="A9" s="244" t="s">
        <v>407</v>
      </c>
      <c r="B9" s="568" t="s">
        <v>474</v>
      </c>
      <c r="C9" s="569"/>
      <c r="D9" s="569"/>
      <c r="E9" s="570"/>
    </row>
    <row r="10" spans="1:512" s="240" customFormat="1" ht="27" customHeight="1" x14ac:dyDescent="0.2">
      <c r="A10" s="244" t="s">
        <v>408</v>
      </c>
      <c r="B10" s="568" t="s">
        <v>475</v>
      </c>
      <c r="C10" s="569"/>
      <c r="D10" s="569"/>
      <c r="E10" s="570"/>
    </row>
    <row r="11" spans="1:512" s="240" customFormat="1" ht="27" customHeight="1" x14ac:dyDescent="0.2">
      <c r="A11" s="244" t="s">
        <v>409</v>
      </c>
      <c r="B11" s="568" t="s">
        <v>476</v>
      </c>
      <c r="C11" s="569"/>
      <c r="D11" s="569"/>
      <c r="E11" s="570"/>
    </row>
    <row r="12" spans="1:512" s="240" customFormat="1" ht="27" customHeight="1" x14ac:dyDescent="0.2">
      <c r="A12" s="244" t="s">
        <v>410</v>
      </c>
      <c r="B12" s="568" t="s">
        <v>477</v>
      </c>
      <c r="C12" s="569"/>
      <c r="D12" s="569"/>
      <c r="E12" s="570"/>
    </row>
    <row r="13" spans="1:512" s="240" customFormat="1" ht="27" customHeight="1" x14ac:dyDescent="0.2">
      <c r="A13" s="244" t="s">
        <v>411</v>
      </c>
      <c r="B13" s="568" t="s">
        <v>478</v>
      </c>
      <c r="C13" s="569"/>
      <c r="D13" s="569"/>
      <c r="E13" s="570"/>
    </row>
    <row r="14" spans="1:512" s="240" customFormat="1" ht="27" customHeight="1" x14ac:dyDescent="0.2">
      <c r="A14" s="244" t="s">
        <v>412</v>
      </c>
      <c r="B14" s="568" t="s">
        <v>479</v>
      </c>
      <c r="C14" s="569"/>
      <c r="D14" s="569"/>
      <c r="E14" s="570"/>
    </row>
    <row r="15" spans="1:512" s="240" customFormat="1" ht="27" customHeight="1" x14ac:dyDescent="0.2">
      <c r="A15" s="244" t="s">
        <v>413</v>
      </c>
      <c r="B15" s="568" t="s">
        <v>480</v>
      </c>
      <c r="C15" s="569"/>
      <c r="D15" s="569"/>
      <c r="E15" s="570"/>
    </row>
    <row r="16" spans="1:512" x14ac:dyDescent="0.2">
      <c r="A16" s="101"/>
      <c r="B16" s="239"/>
      <c r="C16" s="240"/>
      <c r="D16" s="240"/>
      <c r="E16" s="240"/>
    </row>
    <row r="17" spans="1:5" x14ac:dyDescent="0.2">
      <c r="A17" s="101" t="s">
        <v>426</v>
      </c>
      <c r="B17" s="239"/>
      <c r="C17" s="240"/>
      <c r="D17" s="240"/>
      <c r="E17" s="240"/>
    </row>
    <row r="18" spans="1:5" x14ac:dyDescent="0.2">
      <c r="A18" s="101"/>
      <c r="B18" s="239"/>
      <c r="C18" s="240"/>
      <c r="D18" s="240"/>
      <c r="E18" s="240"/>
    </row>
    <row r="19" spans="1:5" s="240" customFormat="1" ht="27" customHeight="1" x14ac:dyDescent="0.2">
      <c r="A19" s="244" t="s">
        <v>414</v>
      </c>
      <c r="B19" s="568" t="s">
        <v>481</v>
      </c>
      <c r="C19" s="569"/>
      <c r="D19" s="569"/>
      <c r="E19" s="570"/>
    </row>
    <row r="20" spans="1:5" s="240" customFormat="1" ht="27" customHeight="1" x14ac:dyDescent="0.2">
      <c r="A20" s="244" t="s">
        <v>415</v>
      </c>
      <c r="B20" s="568" t="s">
        <v>482</v>
      </c>
      <c r="C20" s="569"/>
      <c r="D20" s="569"/>
      <c r="E20" s="570"/>
    </row>
    <row r="21" spans="1:5" s="240" customFormat="1" ht="27" customHeight="1" x14ac:dyDescent="0.2">
      <c r="A21" s="244" t="s">
        <v>416</v>
      </c>
      <c r="B21" s="568" t="s">
        <v>483</v>
      </c>
      <c r="C21" s="569"/>
      <c r="D21" s="569"/>
      <c r="E21" s="570"/>
    </row>
    <row r="22" spans="1:5" x14ac:dyDescent="0.2">
      <c r="A22" s="101"/>
      <c r="B22" s="239"/>
      <c r="C22" s="240"/>
      <c r="D22" s="240"/>
      <c r="E22" s="240"/>
    </row>
    <row r="23" spans="1:5" x14ac:dyDescent="0.2">
      <c r="A23" s="101" t="s">
        <v>427</v>
      </c>
      <c r="B23" s="239"/>
      <c r="C23" s="240"/>
      <c r="D23" s="240"/>
      <c r="E23" s="240"/>
    </row>
    <row r="24" spans="1:5" x14ac:dyDescent="0.2">
      <c r="A24" s="101"/>
      <c r="B24" s="239"/>
      <c r="C24" s="240"/>
      <c r="D24" s="240"/>
      <c r="E24" s="240"/>
    </row>
    <row r="25" spans="1:5" s="240" customFormat="1" ht="27" customHeight="1" x14ac:dyDescent="0.2">
      <c r="A25" s="244" t="s">
        <v>417</v>
      </c>
      <c r="B25" s="568" t="s">
        <v>484</v>
      </c>
      <c r="C25" s="569"/>
      <c r="D25" s="569"/>
      <c r="E25" s="570"/>
    </row>
    <row r="26" spans="1:5" s="240" customFormat="1" ht="27" customHeight="1" x14ac:dyDescent="0.2">
      <c r="A26" s="244" t="s">
        <v>418</v>
      </c>
      <c r="B26" s="568" t="s">
        <v>485</v>
      </c>
      <c r="C26" s="569"/>
      <c r="D26" s="569"/>
      <c r="E26" s="570"/>
    </row>
    <row r="27" spans="1:5" s="240" customFormat="1" ht="27" customHeight="1" x14ac:dyDescent="0.2">
      <c r="A27" s="244" t="s">
        <v>419</v>
      </c>
      <c r="B27" s="568" t="s">
        <v>486</v>
      </c>
      <c r="C27" s="569"/>
      <c r="D27" s="569"/>
      <c r="E27" s="570"/>
    </row>
    <row r="28" spans="1:5" s="240" customFormat="1" ht="27" customHeight="1" x14ac:dyDescent="0.2">
      <c r="A28" s="244" t="s">
        <v>420</v>
      </c>
      <c r="B28" s="568" t="s">
        <v>487</v>
      </c>
      <c r="C28" s="569"/>
      <c r="D28" s="569"/>
      <c r="E28" s="570"/>
    </row>
    <row r="29" spans="1:5" s="240" customFormat="1" ht="27" customHeight="1" x14ac:dyDescent="0.2">
      <c r="A29" s="244" t="s">
        <v>421</v>
      </c>
      <c r="B29" s="568" t="s">
        <v>488</v>
      </c>
      <c r="C29" s="569"/>
      <c r="D29" s="569"/>
      <c r="E29" s="570"/>
    </row>
    <row r="30" spans="1:5" x14ac:dyDescent="0.2">
      <c r="A30" s="101"/>
      <c r="B30" s="239"/>
      <c r="C30" s="240"/>
      <c r="D30" s="240"/>
      <c r="E30" s="240"/>
    </row>
    <row r="31" spans="1:5" x14ac:dyDescent="0.2">
      <c r="A31" s="101" t="s">
        <v>24</v>
      </c>
      <c r="B31" s="239"/>
      <c r="C31" s="240"/>
      <c r="D31" s="240"/>
      <c r="E31" s="240"/>
    </row>
    <row r="32" spans="1:5" x14ac:dyDescent="0.2">
      <c r="A32" s="101"/>
      <c r="B32" s="239"/>
      <c r="C32" s="240"/>
      <c r="D32" s="240"/>
      <c r="E32" s="240"/>
    </row>
    <row r="33" spans="1:5" s="240" customFormat="1" ht="27" customHeight="1" x14ac:dyDescent="0.2">
      <c r="A33" s="244" t="s">
        <v>422</v>
      </c>
      <c r="B33" s="568" t="s">
        <v>489</v>
      </c>
      <c r="C33" s="569"/>
      <c r="D33" s="569"/>
      <c r="E33" s="570"/>
    </row>
    <row r="34" spans="1:5" s="240" customFormat="1" ht="27" customHeight="1" x14ac:dyDescent="0.2">
      <c r="A34" s="244" t="s">
        <v>423</v>
      </c>
      <c r="B34" s="568" t="s">
        <v>490</v>
      </c>
      <c r="C34" s="569"/>
      <c r="D34" s="569"/>
      <c r="E34" s="570"/>
    </row>
  </sheetData>
  <mergeCells count="18">
    <mergeCell ref="B5:E5"/>
    <mergeCell ref="B12:E12"/>
    <mergeCell ref="B13:E13"/>
    <mergeCell ref="B14:E14"/>
    <mergeCell ref="B19:E19"/>
    <mergeCell ref="B33:E33"/>
    <mergeCell ref="B34:E34"/>
    <mergeCell ref="B9:E9"/>
    <mergeCell ref="B10:E10"/>
    <mergeCell ref="B11:E11"/>
    <mergeCell ref="B15:E15"/>
    <mergeCell ref="B21:E21"/>
    <mergeCell ref="B25:E25"/>
    <mergeCell ref="B26:E26"/>
    <mergeCell ref="B27:E27"/>
    <mergeCell ref="B28:E28"/>
    <mergeCell ref="B29:E29"/>
    <mergeCell ref="B20:E20"/>
  </mergeCells>
  <pageMargins left="0.8203125" right="0.70866141732283472" top="0.74803149606299213" bottom="0.74803149606299213" header="0.31496062992125984" footer="0.31496062992125984"/>
  <pageSetup paperSize="9" scale="75" orientation="portrait" r:id="rId1"/>
  <headerFooter>
    <oddHeader>&amp;C&amp;"Arial,Negrita"&amp;18FORMATOS DEL PROYECTO DE PRESUPUESTO 2021</oddHeader>
    <oddFooter>&amp;L&amp;"Arial,Negrita"&amp;8PROYECTO DE PRESUPUESTO PARA EL AÑO FISCAL 2020
INFORMACIÓN PARA LA COMISIÓN DE PRESUPUESTO Y CUENTA GENERAL DE LA REPÚBLICA DEL CONGRESO DE LA REPÚBLICA</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8">
    <tabColor theme="9" tint="-0.249977111117893"/>
    <pageSetUpPr fitToPage="1"/>
  </sheetPr>
  <dimension ref="A1:AB45"/>
  <sheetViews>
    <sheetView view="pageLayout" topLeftCell="A3" zoomScale="85" zoomScaleNormal="100" zoomScaleSheetLayoutView="90" zoomScalePageLayoutView="85" workbookViewId="0">
      <selection activeCell="AA36" sqref="AA36"/>
    </sheetView>
  </sheetViews>
  <sheetFormatPr baseColWidth="10" defaultColWidth="11.42578125" defaultRowHeight="12.75" x14ac:dyDescent="0.2"/>
  <cols>
    <col min="1" max="1" width="41.28515625" style="21" customWidth="1"/>
    <col min="2" max="11" width="7" style="21" customWidth="1"/>
    <col min="12" max="12" width="13.140625" style="21" bestFit="1" customWidth="1"/>
    <col min="13" max="23" width="7" style="21" customWidth="1"/>
    <col min="24" max="24" width="1.7109375" style="89" customWidth="1"/>
    <col min="25" max="28" width="10.7109375" customWidth="1"/>
    <col min="29" max="16384" width="11.42578125" style="3"/>
  </cols>
  <sheetData>
    <row r="1" spans="1:28" s="105" customFormat="1" ht="15.75" x14ac:dyDescent="0.2">
      <c r="A1" s="219" t="s">
        <v>451</v>
      </c>
      <c r="B1" s="104"/>
      <c r="C1" s="104"/>
      <c r="D1" s="104"/>
      <c r="E1" s="104"/>
      <c r="F1" s="104"/>
      <c r="G1" s="104"/>
      <c r="H1" s="104"/>
      <c r="I1" s="104"/>
      <c r="J1" s="104"/>
      <c r="K1" s="104"/>
      <c r="L1" s="104"/>
      <c r="M1" s="104"/>
      <c r="N1" s="104"/>
      <c r="O1" s="104"/>
      <c r="P1" s="104"/>
      <c r="Q1" s="104"/>
      <c r="R1" s="104"/>
      <c r="S1" s="104"/>
      <c r="T1" s="104"/>
      <c r="U1" s="104"/>
      <c r="V1" s="104"/>
      <c r="W1" s="104"/>
    </row>
    <row r="2" spans="1:28" s="105" customFormat="1" ht="15.75" x14ac:dyDescent="0.2">
      <c r="A2" s="219" t="s">
        <v>373</v>
      </c>
      <c r="B2" s="104"/>
      <c r="C2" s="104"/>
      <c r="D2" s="104"/>
      <c r="E2" s="104"/>
      <c r="F2" s="104"/>
      <c r="G2" s="104"/>
      <c r="H2" s="104"/>
      <c r="I2" s="104"/>
      <c r="J2" s="104"/>
      <c r="K2" s="104"/>
      <c r="L2" s="104"/>
      <c r="M2" s="104"/>
      <c r="N2" s="104"/>
      <c r="O2" s="104"/>
      <c r="P2" s="104"/>
      <c r="Q2" s="104"/>
      <c r="R2" s="104"/>
      <c r="S2" s="104"/>
      <c r="T2" s="104"/>
      <c r="U2" s="104"/>
      <c r="V2" s="104"/>
      <c r="W2" s="104"/>
    </row>
    <row r="3" spans="1:28" s="88" customFormat="1" ht="15.75" x14ac:dyDescent="0.25">
      <c r="A3" s="220" t="s">
        <v>375</v>
      </c>
    </row>
    <row r="4" spans="1:28" ht="13.5" thickBot="1" x14ac:dyDescent="0.25">
      <c r="L4" s="22"/>
      <c r="W4" s="22"/>
    </row>
    <row r="5" spans="1:28" s="68" customFormat="1" ht="26.25" customHeight="1" x14ac:dyDescent="0.2">
      <c r="A5" s="137" t="s">
        <v>10</v>
      </c>
      <c r="B5" s="613" t="s">
        <v>449</v>
      </c>
      <c r="C5" s="614"/>
      <c r="D5" s="614"/>
      <c r="E5" s="614"/>
      <c r="F5" s="614"/>
      <c r="G5" s="614"/>
      <c r="H5" s="614"/>
      <c r="I5" s="614"/>
      <c r="J5" s="614"/>
      <c r="K5" s="614"/>
      <c r="L5" s="615"/>
      <c r="M5" s="613" t="s">
        <v>450</v>
      </c>
      <c r="N5" s="614"/>
      <c r="O5" s="614"/>
      <c r="P5" s="614"/>
      <c r="Q5" s="614"/>
      <c r="R5" s="614"/>
      <c r="S5" s="614"/>
      <c r="T5" s="614"/>
      <c r="U5" s="614"/>
      <c r="V5" s="614"/>
      <c r="W5" s="615"/>
      <c r="X5" s="90"/>
    </row>
    <row r="6" spans="1:28" s="69" customFormat="1" ht="99.95" customHeight="1" x14ac:dyDescent="0.2">
      <c r="A6" s="138" t="s">
        <v>9</v>
      </c>
      <c r="B6" s="139" t="s">
        <v>376</v>
      </c>
      <c r="C6" s="139" t="s">
        <v>147</v>
      </c>
      <c r="D6" s="140" t="s">
        <v>324</v>
      </c>
      <c r="E6" s="140" t="s">
        <v>322</v>
      </c>
      <c r="F6" s="140" t="s">
        <v>326</v>
      </c>
      <c r="G6" s="140" t="s">
        <v>327</v>
      </c>
      <c r="H6" s="140" t="s">
        <v>328</v>
      </c>
      <c r="I6" s="140" t="s">
        <v>335</v>
      </c>
      <c r="J6" s="141" t="s">
        <v>330</v>
      </c>
      <c r="K6" s="142" t="s">
        <v>332</v>
      </c>
      <c r="L6" s="143" t="s">
        <v>334</v>
      </c>
      <c r="M6" s="139" t="s">
        <v>376</v>
      </c>
      <c r="N6" s="139" t="s">
        <v>147</v>
      </c>
      <c r="O6" s="140" t="s">
        <v>324</v>
      </c>
      <c r="P6" s="140" t="s">
        <v>322</v>
      </c>
      <c r="Q6" s="140" t="s">
        <v>326</v>
      </c>
      <c r="R6" s="140" t="s">
        <v>327</v>
      </c>
      <c r="S6" s="140" t="s">
        <v>328</v>
      </c>
      <c r="T6" s="140" t="s">
        <v>335</v>
      </c>
      <c r="U6" s="141" t="s">
        <v>330</v>
      </c>
      <c r="V6" s="142" t="s">
        <v>332</v>
      </c>
      <c r="W6" s="143" t="s">
        <v>333</v>
      </c>
      <c r="X6" s="91"/>
    </row>
    <row r="7" spans="1:28" x14ac:dyDescent="0.2">
      <c r="A7" s="24"/>
      <c r="L7" s="29"/>
      <c r="W7" s="29"/>
      <c r="AA7" s="3"/>
      <c r="AB7" s="3"/>
    </row>
    <row r="8" spans="1:28" x14ac:dyDescent="0.2">
      <c r="A8" s="25" t="s">
        <v>7</v>
      </c>
      <c r="B8" s="26"/>
      <c r="C8" s="26"/>
      <c r="D8" s="26"/>
      <c r="E8" s="26"/>
      <c r="F8" s="26"/>
      <c r="G8" s="26"/>
      <c r="H8" s="26"/>
      <c r="I8" s="26"/>
      <c r="J8" s="26"/>
      <c r="K8" s="26"/>
      <c r="L8" s="27"/>
      <c r="M8" s="26"/>
      <c r="N8" s="26"/>
      <c r="O8" s="26"/>
      <c r="P8" s="26"/>
      <c r="Q8" s="26"/>
      <c r="R8" s="26"/>
      <c r="S8" s="26"/>
      <c r="T8" s="26"/>
      <c r="U8" s="26"/>
      <c r="V8" s="26"/>
      <c r="W8" s="27"/>
      <c r="X8" s="92"/>
      <c r="AA8" s="3"/>
      <c r="AB8" s="3"/>
    </row>
    <row r="9" spans="1:28" x14ac:dyDescent="0.2">
      <c r="A9" s="24" t="s">
        <v>3</v>
      </c>
      <c r="B9" s="21">
        <v>15300</v>
      </c>
      <c r="D9" s="534"/>
      <c r="I9" s="534"/>
      <c r="K9" s="21">
        <f>SUM(B9:J9)</f>
        <v>15300</v>
      </c>
      <c r="L9" s="29">
        <v>183600</v>
      </c>
      <c r="M9" s="21">
        <f>W9/12</f>
        <v>15300</v>
      </c>
      <c r="W9" s="29">
        <v>183600</v>
      </c>
      <c r="AA9" s="3"/>
      <c r="AB9" s="3"/>
    </row>
    <row r="10" spans="1:28" x14ac:dyDescent="0.2">
      <c r="A10" s="24" t="s">
        <v>941</v>
      </c>
      <c r="B10" s="21">
        <v>8150</v>
      </c>
      <c r="K10" s="21">
        <f t="shared" ref="K10:K16" si="0">SUM(B10:J10)</f>
        <v>8150</v>
      </c>
      <c r="L10" s="29">
        <v>97800</v>
      </c>
      <c r="M10" s="21">
        <f t="shared" ref="M10:M16" si="1">W10/12</f>
        <v>8150</v>
      </c>
      <c r="W10" s="29">
        <v>97800</v>
      </c>
      <c r="AA10" s="3"/>
      <c r="AB10" s="3"/>
    </row>
    <row r="11" spans="1:28" x14ac:dyDescent="0.2">
      <c r="A11" s="24" t="s">
        <v>942</v>
      </c>
      <c r="B11" s="21">
        <v>4278.6099999999997</v>
      </c>
      <c r="K11" s="21">
        <f t="shared" si="0"/>
        <v>4278.6099999999997</v>
      </c>
      <c r="L11" s="29">
        <v>51343.319999999992</v>
      </c>
      <c r="M11" s="21">
        <f t="shared" si="1"/>
        <v>4278.6099999999997</v>
      </c>
      <c r="W11" s="29">
        <v>51343.319999999992</v>
      </c>
      <c r="AA11" s="3"/>
      <c r="AB11" s="3"/>
    </row>
    <row r="12" spans="1:28" x14ac:dyDescent="0.2">
      <c r="A12" s="24" t="s">
        <v>943</v>
      </c>
      <c r="B12" s="21">
        <v>49433.819999999985</v>
      </c>
      <c r="K12" s="21">
        <f t="shared" si="0"/>
        <v>49433.819999999985</v>
      </c>
      <c r="L12" s="29">
        <v>593205.84</v>
      </c>
      <c r="M12" s="21">
        <f t="shared" si="1"/>
        <v>49433.82</v>
      </c>
      <c r="W12" s="29">
        <v>593205.84</v>
      </c>
      <c r="AA12" s="3"/>
      <c r="AB12" s="3"/>
    </row>
    <row r="13" spans="1:28" x14ac:dyDescent="0.2">
      <c r="A13" s="24" t="s">
        <v>944</v>
      </c>
      <c r="B13" s="21">
        <v>62918.189999999988</v>
      </c>
      <c r="K13" s="21">
        <f t="shared" si="0"/>
        <v>62918.189999999988</v>
      </c>
      <c r="L13" s="29">
        <v>884476.55999999994</v>
      </c>
      <c r="M13" s="21">
        <f t="shared" si="1"/>
        <v>73706.37999999999</v>
      </c>
      <c r="W13" s="29">
        <v>884476.55999999994</v>
      </c>
      <c r="AA13" s="3"/>
      <c r="AB13" s="3"/>
    </row>
    <row r="14" spans="1:28" x14ac:dyDescent="0.2">
      <c r="A14" s="24" t="s">
        <v>945</v>
      </c>
      <c r="B14" s="21">
        <v>52321.360000000008</v>
      </c>
      <c r="K14" s="21">
        <f t="shared" si="0"/>
        <v>52321.360000000008</v>
      </c>
      <c r="L14" s="29">
        <v>627856.31999999995</v>
      </c>
      <c r="M14" s="21">
        <f t="shared" si="1"/>
        <v>52321.359999999993</v>
      </c>
      <c r="W14" s="29">
        <v>627856.31999999995</v>
      </c>
      <c r="AA14" s="3"/>
      <c r="AB14" s="3"/>
    </row>
    <row r="15" spans="1:28" x14ac:dyDescent="0.2">
      <c r="A15" s="24" t="s">
        <v>946</v>
      </c>
      <c r="B15" s="21">
        <v>9030.81</v>
      </c>
      <c r="K15" s="21">
        <f t="shared" si="0"/>
        <v>9030.81</v>
      </c>
      <c r="L15" s="29">
        <v>185555.64</v>
      </c>
      <c r="M15" s="21">
        <f t="shared" si="1"/>
        <v>15462.970000000001</v>
      </c>
      <c r="W15" s="29">
        <v>185555.64</v>
      </c>
      <c r="AA15" s="3"/>
      <c r="AB15" s="3"/>
    </row>
    <row r="16" spans="1:28" x14ac:dyDescent="0.2">
      <c r="A16" s="24" t="s">
        <v>12</v>
      </c>
      <c r="B16" s="21">
        <v>79236.680000000008</v>
      </c>
      <c r="K16" s="21">
        <f t="shared" si="0"/>
        <v>79236.680000000008</v>
      </c>
      <c r="L16" s="29">
        <v>1219694.1599999999</v>
      </c>
      <c r="M16" s="21">
        <f t="shared" si="1"/>
        <v>101641.18</v>
      </c>
      <c r="W16" s="29">
        <v>1219694.1599999999</v>
      </c>
      <c r="X16" s="92"/>
      <c r="AA16" s="3"/>
      <c r="AB16" s="3"/>
    </row>
    <row r="17" spans="1:28" x14ac:dyDescent="0.2">
      <c r="A17" s="85"/>
      <c r="L17" s="29"/>
      <c r="W17" s="29"/>
      <c r="AA17" s="3"/>
      <c r="AB17" s="3"/>
    </row>
    <row r="18" spans="1:28" x14ac:dyDescent="0.2">
      <c r="A18" s="25" t="s">
        <v>4</v>
      </c>
      <c r="B18" s="26"/>
      <c r="C18" s="26"/>
      <c r="D18" s="26"/>
      <c r="E18" s="26"/>
      <c r="F18" s="26"/>
      <c r="G18" s="26"/>
      <c r="H18" s="26"/>
      <c r="I18" s="26"/>
      <c r="J18" s="26"/>
      <c r="K18" s="26"/>
      <c r="L18" s="27"/>
      <c r="M18" s="26"/>
      <c r="N18" s="26"/>
      <c r="O18" s="26"/>
      <c r="P18" s="26"/>
      <c r="Q18" s="26"/>
      <c r="R18" s="26"/>
      <c r="S18" s="26"/>
      <c r="T18" s="26"/>
      <c r="U18" s="26"/>
      <c r="V18" s="26"/>
      <c r="W18" s="27"/>
      <c r="AA18" s="3"/>
      <c r="AB18" s="3"/>
    </row>
    <row r="19" spans="1:28" x14ac:dyDescent="0.2">
      <c r="A19" s="24" t="s">
        <v>13</v>
      </c>
      <c r="B19" s="21">
        <v>15416.619999999999</v>
      </c>
      <c r="K19" s="21">
        <f t="shared" ref="K19:K23" si="2">SUM(B19:J19)</f>
        <v>15416.619999999999</v>
      </c>
      <c r="L19" s="29">
        <v>184999.44</v>
      </c>
      <c r="M19" s="21">
        <f t="shared" ref="M19:M23" si="3">W19/12</f>
        <v>15416.62</v>
      </c>
      <c r="W19" s="29">
        <v>184999.44</v>
      </c>
      <c r="AA19" s="3"/>
      <c r="AB19" s="3"/>
    </row>
    <row r="20" spans="1:28" x14ac:dyDescent="0.2">
      <c r="A20" s="24" t="s">
        <v>947</v>
      </c>
      <c r="B20" s="21">
        <v>2901.1899999999996</v>
      </c>
      <c r="K20" s="21">
        <f t="shared" si="2"/>
        <v>2901.1899999999996</v>
      </c>
      <c r="L20" s="29">
        <v>34814.28</v>
      </c>
      <c r="M20" s="21">
        <f t="shared" si="3"/>
        <v>2901.19</v>
      </c>
      <c r="W20" s="29">
        <v>34814.28</v>
      </c>
      <c r="AA20" s="3"/>
      <c r="AB20" s="3"/>
    </row>
    <row r="21" spans="1:28" x14ac:dyDescent="0.2">
      <c r="A21" s="24" t="s">
        <v>948</v>
      </c>
      <c r="B21" s="21">
        <v>3038.41</v>
      </c>
      <c r="K21" s="21">
        <f t="shared" si="2"/>
        <v>3038.41</v>
      </c>
      <c r="L21" s="29">
        <v>72890.760000000009</v>
      </c>
      <c r="M21" s="21">
        <f t="shared" si="3"/>
        <v>6074.2300000000005</v>
      </c>
      <c r="W21" s="29">
        <v>72890.760000000009</v>
      </c>
      <c r="X21" s="92"/>
      <c r="AA21" s="3"/>
      <c r="AB21" s="3"/>
    </row>
    <row r="22" spans="1:28" x14ac:dyDescent="0.2">
      <c r="A22" s="24" t="s">
        <v>949</v>
      </c>
      <c r="B22" s="21">
        <v>3000.35</v>
      </c>
      <c r="K22" s="21">
        <f t="shared" si="2"/>
        <v>3000.35</v>
      </c>
      <c r="L22" s="29">
        <v>36004.199999999997</v>
      </c>
      <c r="M22" s="21">
        <f t="shared" si="3"/>
        <v>3000.35</v>
      </c>
      <c r="W22" s="29">
        <v>36004.199999999997</v>
      </c>
      <c r="AA22" s="3"/>
      <c r="AB22" s="3"/>
    </row>
    <row r="23" spans="1:28" x14ac:dyDescent="0.2">
      <c r="A23" s="24" t="s">
        <v>14</v>
      </c>
      <c r="B23" s="21">
        <v>2976.27</v>
      </c>
      <c r="K23" s="21">
        <f t="shared" si="2"/>
        <v>2976.27</v>
      </c>
      <c r="L23" s="29">
        <v>35715.24</v>
      </c>
      <c r="M23" s="21">
        <f t="shared" si="3"/>
        <v>2976.27</v>
      </c>
      <c r="W23" s="29">
        <v>35715.24</v>
      </c>
      <c r="AA23" s="3"/>
      <c r="AB23" s="3"/>
    </row>
    <row r="24" spans="1:28" x14ac:dyDescent="0.2">
      <c r="A24" s="24"/>
      <c r="L24" s="29"/>
      <c r="W24" s="29"/>
      <c r="AA24" s="3"/>
      <c r="AB24" s="3"/>
    </row>
    <row r="25" spans="1:28" x14ac:dyDescent="0.2">
      <c r="A25" s="25" t="s">
        <v>5</v>
      </c>
      <c r="B25" s="26"/>
      <c r="C25" s="26"/>
      <c r="D25" s="26"/>
      <c r="E25" s="26"/>
      <c r="F25" s="26"/>
      <c r="G25" s="26"/>
      <c r="H25" s="26"/>
      <c r="I25" s="26"/>
      <c r="J25" s="26"/>
      <c r="K25" s="26"/>
      <c r="L25" s="27"/>
      <c r="M25" s="26"/>
      <c r="N25" s="26"/>
      <c r="O25" s="26"/>
      <c r="P25" s="26"/>
      <c r="Q25" s="26"/>
      <c r="R25" s="26"/>
      <c r="S25" s="26"/>
      <c r="T25" s="26"/>
      <c r="U25" s="26"/>
      <c r="V25" s="26"/>
      <c r="W25" s="27"/>
      <c r="AA25" s="3"/>
      <c r="AB25" s="3"/>
    </row>
    <row r="26" spans="1:28" x14ac:dyDescent="0.2">
      <c r="A26" s="24" t="s">
        <v>15</v>
      </c>
      <c r="B26" s="21">
        <v>113093.77999999998</v>
      </c>
      <c r="K26" s="21">
        <f t="shared" ref="K26:K30" si="4">SUM(B26:J26)</f>
        <v>113093.77999999998</v>
      </c>
      <c r="L26" s="29">
        <v>1605442.6800000004</v>
      </c>
      <c r="M26" s="21">
        <f t="shared" ref="M26:M30" si="5">W26/12</f>
        <v>133786.89000000004</v>
      </c>
      <c r="W26" s="29">
        <v>1605442.6800000004</v>
      </c>
      <c r="X26" s="92"/>
      <c r="AA26" s="3"/>
      <c r="AB26" s="3"/>
    </row>
    <row r="27" spans="1:28" x14ac:dyDescent="0.2">
      <c r="A27" s="24" t="s">
        <v>950</v>
      </c>
      <c r="B27" s="21">
        <v>36222.000000000007</v>
      </c>
      <c r="K27" s="21">
        <f t="shared" si="4"/>
        <v>36222.000000000007</v>
      </c>
      <c r="L27" s="29">
        <v>469834.8</v>
      </c>
      <c r="M27" s="21">
        <f t="shared" si="5"/>
        <v>39152.9</v>
      </c>
      <c r="W27" s="29">
        <v>469834.8</v>
      </c>
      <c r="AA27" s="3"/>
      <c r="AB27" s="3"/>
    </row>
    <row r="28" spans="1:28" x14ac:dyDescent="0.2">
      <c r="A28" s="24" t="s">
        <v>951</v>
      </c>
      <c r="B28" s="21">
        <v>13470.16</v>
      </c>
      <c r="K28" s="21">
        <f t="shared" si="4"/>
        <v>13470.16</v>
      </c>
      <c r="L28" s="29">
        <v>197030.03999999998</v>
      </c>
      <c r="M28" s="21">
        <f t="shared" si="5"/>
        <v>16419.169999999998</v>
      </c>
      <c r="W28" s="29">
        <v>197030.03999999998</v>
      </c>
      <c r="AA28" s="3"/>
      <c r="AB28" s="3"/>
    </row>
    <row r="29" spans="1:28" x14ac:dyDescent="0.2">
      <c r="A29" s="24" t="s">
        <v>952</v>
      </c>
      <c r="K29" s="21">
        <f t="shared" si="4"/>
        <v>0</v>
      </c>
      <c r="L29" s="29">
        <v>35353.440000000002</v>
      </c>
      <c r="M29" s="21">
        <f t="shared" si="5"/>
        <v>2946.1200000000003</v>
      </c>
      <c r="W29" s="29">
        <v>35353.440000000002</v>
      </c>
      <c r="AA29" s="3"/>
      <c r="AB29" s="3"/>
    </row>
    <row r="30" spans="1:28" x14ac:dyDescent="0.2">
      <c r="A30" s="24" t="s">
        <v>953</v>
      </c>
      <c r="B30" s="21">
        <v>2517.7600000000002</v>
      </c>
      <c r="K30" s="21">
        <f t="shared" si="4"/>
        <v>2517.7600000000002</v>
      </c>
      <c r="L30" s="29">
        <v>30213.120000000003</v>
      </c>
      <c r="M30" s="21">
        <f t="shared" si="5"/>
        <v>2517.7600000000002</v>
      </c>
      <c r="W30" s="29">
        <v>30213.120000000003</v>
      </c>
      <c r="AA30" s="3"/>
      <c r="AB30" s="3"/>
    </row>
    <row r="31" spans="1:28" x14ac:dyDescent="0.2">
      <c r="A31" s="24"/>
      <c r="L31" s="29"/>
      <c r="W31" s="29"/>
      <c r="X31" s="92"/>
      <c r="AA31" s="3"/>
      <c r="AB31" s="3"/>
    </row>
    <row r="32" spans="1:28" ht="12" x14ac:dyDescent="0.2">
      <c r="A32" s="25" t="s">
        <v>6</v>
      </c>
      <c r="B32" s="26"/>
      <c r="C32" s="26"/>
      <c r="D32" s="26"/>
      <c r="E32" s="26"/>
      <c r="F32" s="26"/>
      <c r="G32" s="26"/>
      <c r="H32" s="26"/>
      <c r="I32" s="26"/>
      <c r="J32" s="26"/>
      <c r="K32" s="26"/>
      <c r="L32" s="27"/>
      <c r="M32" s="26"/>
      <c r="N32" s="26"/>
      <c r="O32" s="26"/>
      <c r="P32" s="26"/>
      <c r="Q32" s="26"/>
      <c r="R32" s="26"/>
      <c r="S32" s="26"/>
      <c r="T32" s="26"/>
      <c r="U32" s="26"/>
      <c r="V32" s="26"/>
      <c r="W32" s="27"/>
      <c r="X32" s="3"/>
      <c r="Y32" s="3"/>
      <c r="Z32" s="3"/>
      <c r="AA32" s="3"/>
      <c r="AB32" s="3"/>
    </row>
    <row r="33" spans="1:28" ht="12" x14ac:dyDescent="0.2">
      <c r="A33" s="24" t="s">
        <v>16</v>
      </c>
      <c r="B33" s="21">
        <v>11303.07</v>
      </c>
      <c r="K33" s="21">
        <f>SUM(B33:J33)</f>
        <v>11303.07</v>
      </c>
      <c r="L33" s="29">
        <v>135636.84</v>
      </c>
      <c r="M33" s="21">
        <f t="shared" ref="M33:M34" si="6">W33/12</f>
        <v>11303.07</v>
      </c>
      <c r="W33" s="29">
        <v>135636.84</v>
      </c>
      <c r="X33" s="3"/>
      <c r="Y33" s="3"/>
      <c r="Z33" s="3"/>
      <c r="AA33" s="3"/>
      <c r="AB33" s="3"/>
    </row>
    <row r="34" spans="1:28" ht="12" x14ac:dyDescent="0.2">
      <c r="A34" s="24" t="s">
        <v>954</v>
      </c>
      <c r="L34" s="29">
        <v>70497.84</v>
      </c>
      <c r="M34" s="21">
        <f t="shared" si="6"/>
        <v>5874.82</v>
      </c>
      <c r="W34" s="29">
        <v>70497.84</v>
      </c>
      <c r="X34" s="3"/>
      <c r="Y34" s="3"/>
      <c r="Z34" s="3"/>
      <c r="AA34" s="3"/>
      <c r="AB34" s="3"/>
    </row>
    <row r="35" spans="1:28" x14ac:dyDescent="0.2">
      <c r="A35" s="24" t="s">
        <v>955</v>
      </c>
      <c r="L35" s="29"/>
      <c r="W35" s="29"/>
    </row>
    <row r="36" spans="1:28" x14ac:dyDescent="0.2">
      <c r="A36" s="24" t="s">
        <v>956</v>
      </c>
      <c r="L36" s="29"/>
      <c r="W36" s="29"/>
    </row>
    <row r="37" spans="1:28" x14ac:dyDescent="0.2">
      <c r="A37" s="24" t="s">
        <v>17</v>
      </c>
      <c r="L37" s="29"/>
      <c r="W37" s="29"/>
    </row>
    <row r="38" spans="1:28" x14ac:dyDescent="0.2">
      <c r="A38" s="24"/>
      <c r="L38" s="29"/>
      <c r="W38" s="29"/>
    </row>
    <row r="39" spans="1:28" x14ac:dyDescent="0.2">
      <c r="A39" s="535" t="s">
        <v>957</v>
      </c>
      <c r="D39" s="21">
        <f>34053.3+14770.75+18170.75+2974.15+12174.55+5559+55376.85</f>
        <v>143079.35</v>
      </c>
      <c r="K39" s="21">
        <f>SUM(B39:J39)</f>
        <v>143079.35</v>
      </c>
      <c r="L39" s="29">
        <v>2229186</v>
      </c>
      <c r="M39" s="21">
        <f>W39/12</f>
        <v>185765.5</v>
      </c>
      <c r="W39" s="29">
        <v>2229186</v>
      </c>
    </row>
    <row r="40" spans="1:28" ht="13.5" thickBot="1" x14ac:dyDescent="0.25">
      <c r="A40" s="24" t="s">
        <v>958</v>
      </c>
      <c r="I40" s="21">
        <v>1200</v>
      </c>
      <c r="K40" s="21">
        <f>SUM(B40:J40)</f>
        <v>1200</v>
      </c>
      <c r="L40" s="29">
        <v>60000</v>
      </c>
      <c r="M40" s="21">
        <f>W40/12</f>
        <v>5000</v>
      </c>
      <c r="W40" s="29">
        <v>60000</v>
      </c>
    </row>
    <row r="41" spans="1:28" ht="13.5" thickBot="1" x14ac:dyDescent="0.25">
      <c r="A41" s="31" t="s">
        <v>22</v>
      </c>
      <c r="B41" s="35">
        <f>SUM(B9:B40)</f>
        <v>484609.07999999996</v>
      </c>
      <c r="C41" s="35">
        <f t="shared" ref="C41:W41" si="7">SUM(C9:C40)</f>
        <v>0</v>
      </c>
      <c r="D41" s="35">
        <f t="shared" si="7"/>
        <v>143079.35</v>
      </c>
      <c r="E41" s="35">
        <f t="shared" si="7"/>
        <v>0</v>
      </c>
      <c r="F41" s="35">
        <f t="shared" si="7"/>
        <v>0</v>
      </c>
      <c r="G41" s="35">
        <f t="shared" si="7"/>
        <v>0</v>
      </c>
      <c r="H41" s="35">
        <f t="shared" si="7"/>
        <v>0</v>
      </c>
      <c r="I41" s="35">
        <f t="shared" si="7"/>
        <v>1200</v>
      </c>
      <c r="J41" s="35">
        <f t="shared" si="7"/>
        <v>0</v>
      </c>
      <c r="K41" s="35">
        <f t="shared" si="7"/>
        <v>628888.42999999993</v>
      </c>
      <c r="L41" s="35">
        <f t="shared" si="7"/>
        <v>9041150.5199999996</v>
      </c>
      <c r="M41" s="35">
        <f t="shared" si="7"/>
        <v>753429.21</v>
      </c>
      <c r="N41" s="35">
        <f t="shared" si="7"/>
        <v>0</v>
      </c>
      <c r="O41" s="35">
        <f t="shared" si="7"/>
        <v>0</v>
      </c>
      <c r="P41" s="35">
        <f t="shared" si="7"/>
        <v>0</v>
      </c>
      <c r="Q41" s="35">
        <f t="shared" si="7"/>
        <v>0</v>
      </c>
      <c r="R41" s="35">
        <f t="shared" si="7"/>
        <v>0</v>
      </c>
      <c r="S41" s="35">
        <f t="shared" si="7"/>
        <v>0</v>
      </c>
      <c r="T41" s="35">
        <f t="shared" si="7"/>
        <v>0</v>
      </c>
      <c r="U41" s="35">
        <f t="shared" si="7"/>
        <v>0</v>
      </c>
      <c r="V41" s="35">
        <f t="shared" si="7"/>
        <v>0</v>
      </c>
      <c r="W41" s="35">
        <f t="shared" si="7"/>
        <v>9041150.5199999996</v>
      </c>
    </row>
    <row r="42" spans="1:28" x14ac:dyDescent="0.2">
      <c r="A42" s="1" t="s">
        <v>331</v>
      </c>
      <c r="B42" s="2"/>
      <c r="C42" s="2"/>
      <c r="D42" s="2"/>
      <c r="E42" s="2"/>
      <c r="F42" s="2"/>
      <c r="G42" s="2"/>
      <c r="H42" s="2"/>
      <c r="I42" s="2"/>
      <c r="J42" s="2"/>
      <c r="K42" s="2"/>
      <c r="L42" s="2"/>
      <c r="M42" s="2"/>
      <c r="N42" s="2"/>
      <c r="O42" s="2"/>
      <c r="P42" s="3"/>
      <c r="Q42" s="89"/>
      <c r="R42"/>
      <c r="S42"/>
      <c r="T42" s="3"/>
      <c r="U42" s="3"/>
      <c r="V42" s="3"/>
      <c r="W42" s="3"/>
    </row>
    <row r="43" spans="1:28" x14ac:dyDescent="0.2">
      <c r="A43" s="21" t="s">
        <v>325</v>
      </c>
      <c r="P43" s="3"/>
      <c r="Q43" s="89"/>
      <c r="R43"/>
      <c r="S43"/>
      <c r="T43"/>
      <c r="U43"/>
      <c r="V43" s="3"/>
      <c r="W43" s="3"/>
    </row>
    <row r="44" spans="1:28" x14ac:dyDescent="0.2">
      <c r="A44" s="21" t="s">
        <v>329</v>
      </c>
      <c r="P44" s="3"/>
      <c r="Q44" s="89"/>
      <c r="R44"/>
      <c r="S44"/>
      <c r="T44"/>
      <c r="U44"/>
      <c r="V44" s="3"/>
      <c r="W44" s="3"/>
    </row>
    <row r="45" spans="1:28" x14ac:dyDescent="0.2">
      <c r="A45" s="21" t="s">
        <v>336</v>
      </c>
    </row>
  </sheetData>
  <mergeCells count="2">
    <mergeCell ref="B5:L5"/>
    <mergeCell ref="M5:W5"/>
  </mergeCells>
  <printOptions horizontalCentered="1"/>
  <pageMargins left="0.25" right="0.25" top="0.75" bottom="0.75" header="0.3" footer="0.3"/>
  <pageSetup paperSize="9" scale="59" orientation="landscape" r:id="rId1"/>
  <headerFooter alignWithMargins="0">
    <oddHeader>&amp;C&amp;"Arial,Negrita"&amp;18PROYECTO DE PRESUPUESTO 2021</oddHeader>
    <oddFooter>&amp;L&amp;"Arial,Negrita"&amp;8PROYECTO DE PRESUPUESTO PARA EL AÑO FISCAL 2020
INFORMACIÓN PARA LA COMISIÓN DE PRESUPUESTO Y CUENTA GENERAL DE LA REPÚBLICA DEL CONGRESO DE LA REPÚBLICA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22">
    <tabColor theme="9" tint="-0.249977111117893"/>
    <pageSetUpPr fitToPage="1"/>
  </sheetPr>
  <dimension ref="A1:V25"/>
  <sheetViews>
    <sheetView view="pageLayout" zoomScale="90" zoomScaleNormal="100" zoomScaleSheetLayoutView="100" zoomScalePageLayoutView="90" workbookViewId="0">
      <selection activeCell="E31" sqref="E31"/>
    </sheetView>
  </sheetViews>
  <sheetFormatPr baseColWidth="10" defaultColWidth="11.42578125" defaultRowHeight="12" x14ac:dyDescent="0.2"/>
  <cols>
    <col min="1" max="1" width="62" style="3" customWidth="1"/>
    <col min="2" max="9" width="14.7109375" style="3" customWidth="1"/>
    <col min="10" max="16384" width="11.42578125" style="3"/>
  </cols>
  <sheetData>
    <row r="1" spans="1:22" s="103" customFormat="1" ht="15.75" x14ac:dyDescent="0.25">
      <c r="A1" s="5"/>
      <c r="B1" s="106"/>
      <c r="C1" s="106"/>
      <c r="D1" s="106"/>
      <c r="E1" s="106"/>
      <c r="F1" s="106"/>
      <c r="H1" s="104"/>
      <c r="I1" s="104"/>
    </row>
    <row r="2" spans="1:22" s="105" customFormat="1" ht="15.75" x14ac:dyDescent="0.2">
      <c r="A2" s="2" t="s">
        <v>373</v>
      </c>
      <c r="B2" s="104"/>
      <c r="C2" s="104"/>
      <c r="D2" s="104"/>
      <c r="E2" s="104"/>
      <c r="F2" s="104"/>
      <c r="G2" s="104"/>
      <c r="H2" s="104"/>
      <c r="I2" s="104"/>
      <c r="J2" s="104"/>
      <c r="K2" s="104"/>
      <c r="L2" s="104"/>
      <c r="M2" s="104"/>
      <c r="N2" s="104"/>
      <c r="O2" s="104"/>
      <c r="P2" s="104"/>
      <c r="Q2" s="104"/>
      <c r="R2" s="104"/>
      <c r="S2" s="104"/>
      <c r="T2" s="104"/>
      <c r="U2" s="104"/>
      <c r="V2" s="104"/>
    </row>
    <row r="3" spans="1:22" ht="12.75" thickBot="1" x14ac:dyDescent="0.25">
      <c r="B3" s="6"/>
      <c r="E3" s="6"/>
    </row>
    <row r="4" spans="1:22" ht="12.75" thickBot="1" x14ac:dyDescent="0.25">
      <c r="A4" s="144" t="s">
        <v>10</v>
      </c>
      <c r="B4" s="616" t="s">
        <v>378</v>
      </c>
      <c r="C4" s="616"/>
      <c r="D4" s="617" t="s">
        <v>452</v>
      </c>
      <c r="E4" s="619"/>
      <c r="F4" s="617" t="s">
        <v>453</v>
      </c>
      <c r="G4" s="618"/>
      <c r="H4" s="617" t="s">
        <v>377</v>
      </c>
      <c r="I4" s="618"/>
    </row>
    <row r="5" spans="1:22" s="61" customFormat="1" ht="24" customHeight="1" x14ac:dyDescent="0.2">
      <c r="A5" s="145" t="s">
        <v>9</v>
      </c>
      <c r="B5" s="146" t="s">
        <v>164</v>
      </c>
      <c r="C5" s="147" t="s">
        <v>25</v>
      </c>
      <c r="D5" s="145" t="s">
        <v>164</v>
      </c>
      <c r="E5" s="519" t="s">
        <v>25</v>
      </c>
      <c r="F5" s="145" t="s">
        <v>164</v>
      </c>
      <c r="G5" s="519" t="s">
        <v>25</v>
      </c>
      <c r="H5" s="145" t="s">
        <v>164</v>
      </c>
      <c r="I5" s="519" t="s">
        <v>25</v>
      </c>
    </row>
    <row r="6" spans="1:22" x14ac:dyDescent="0.2">
      <c r="A6" s="93" t="s">
        <v>161</v>
      </c>
      <c r="B6" s="52">
        <v>176</v>
      </c>
      <c r="C6" s="53">
        <v>5794821</v>
      </c>
      <c r="D6" s="52">
        <v>176</v>
      </c>
      <c r="E6" s="53">
        <v>5794821</v>
      </c>
      <c r="F6" s="52">
        <v>176</v>
      </c>
      <c r="G6" s="53">
        <v>5794821</v>
      </c>
      <c r="H6" s="52">
        <v>0</v>
      </c>
      <c r="I6" s="53"/>
    </row>
    <row r="7" spans="1:22" x14ac:dyDescent="0.2">
      <c r="A7" s="93" t="s">
        <v>193</v>
      </c>
      <c r="B7" s="52"/>
      <c r="C7" s="56"/>
      <c r="D7" s="52"/>
      <c r="E7" s="53"/>
      <c r="F7" s="52"/>
      <c r="G7" s="53"/>
      <c r="H7" s="52"/>
      <c r="I7" s="53"/>
    </row>
    <row r="8" spans="1:22" x14ac:dyDescent="0.2">
      <c r="A8" s="93" t="s">
        <v>191</v>
      </c>
      <c r="B8" s="52"/>
      <c r="C8" s="56"/>
      <c r="D8" s="52"/>
      <c r="E8" s="53"/>
      <c r="F8" s="52"/>
      <c r="G8" s="53"/>
      <c r="H8" s="52"/>
      <c r="I8" s="53"/>
    </row>
    <row r="9" spans="1:22" x14ac:dyDescent="0.2">
      <c r="A9" s="40" t="s">
        <v>200</v>
      </c>
      <c r="B9" s="52"/>
      <c r="C9" s="56"/>
      <c r="D9" s="52"/>
      <c r="E9" s="53"/>
      <c r="F9" s="52"/>
      <c r="G9" s="53"/>
      <c r="H9" s="52"/>
      <c r="I9" s="53"/>
    </row>
    <row r="10" spans="1:22" x14ac:dyDescent="0.2">
      <c r="A10" s="93" t="s">
        <v>194</v>
      </c>
      <c r="B10" s="52">
        <v>10</v>
      </c>
      <c r="C10" s="56">
        <v>463320</v>
      </c>
      <c r="D10" s="52">
        <v>10</v>
      </c>
      <c r="E10" s="56">
        <v>463320</v>
      </c>
      <c r="F10" s="52">
        <v>10</v>
      </c>
      <c r="G10" s="56">
        <v>463320</v>
      </c>
      <c r="H10" s="52">
        <v>0</v>
      </c>
      <c r="I10" s="53">
        <v>0</v>
      </c>
    </row>
    <row r="11" spans="1:22" x14ac:dyDescent="0.2">
      <c r="A11" s="40" t="s">
        <v>192</v>
      </c>
      <c r="B11" s="59"/>
      <c r="C11" s="56"/>
      <c r="D11" s="52"/>
      <c r="E11" s="53"/>
      <c r="F11" s="52"/>
      <c r="G11" s="53"/>
      <c r="H11" s="52"/>
      <c r="I11" s="53"/>
    </row>
    <row r="12" spans="1:22" x14ac:dyDescent="0.2">
      <c r="A12" s="93" t="s">
        <v>199</v>
      </c>
      <c r="B12" s="59"/>
      <c r="C12" s="56"/>
      <c r="D12" s="52"/>
      <c r="E12" s="53"/>
      <c r="F12" s="52"/>
      <c r="G12" s="53"/>
      <c r="H12" s="52"/>
      <c r="I12" s="53"/>
    </row>
    <row r="13" spans="1:22" x14ac:dyDescent="0.2">
      <c r="A13" s="93" t="s">
        <v>27</v>
      </c>
      <c r="B13" s="59"/>
      <c r="C13" s="56"/>
      <c r="D13" s="52"/>
      <c r="E13" s="53"/>
      <c r="F13" s="52"/>
      <c r="G13" s="53"/>
      <c r="H13" s="52"/>
      <c r="I13" s="53"/>
    </row>
    <row r="14" spans="1:22" x14ac:dyDescent="0.2">
      <c r="A14" s="93" t="s">
        <v>196</v>
      </c>
      <c r="B14" s="59"/>
      <c r="C14" s="56"/>
      <c r="D14" s="52"/>
      <c r="E14" s="53"/>
      <c r="F14" s="52"/>
      <c r="G14" s="53"/>
      <c r="H14" s="52"/>
      <c r="I14" s="53"/>
    </row>
    <row r="15" spans="1:22" x14ac:dyDescent="0.2">
      <c r="A15" s="93" t="s">
        <v>26</v>
      </c>
      <c r="B15" s="59"/>
      <c r="C15" s="56"/>
      <c r="D15" s="52"/>
      <c r="E15" s="53"/>
      <c r="F15" s="52"/>
      <c r="G15" s="53"/>
      <c r="H15" s="52"/>
      <c r="I15" s="53"/>
    </row>
    <row r="16" spans="1:22" x14ac:dyDescent="0.2">
      <c r="A16" s="93" t="s">
        <v>197</v>
      </c>
      <c r="B16" s="59"/>
      <c r="C16" s="56"/>
      <c r="D16" s="52"/>
      <c r="E16" s="53"/>
      <c r="F16" s="52"/>
      <c r="G16" s="53"/>
      <c r="H16" s="52"/>
      <c r="I16" s="53"/>
    </row>
    <row r="17" spans="1:9" x14ac:dyDescent="0.2">
      <c r="A17" s="93" t="s">
        <v>195</v>
      </c>
      <c r="B17" s="59"/>
      <c r="C17" s="56"/>
      <c r="D17" s="52"/>
      <c r="E17" s="53"/>
      <c r="F17" s="52"/>
      <c r="G17" s="53"/>
      <c r="H17" s="52"/>
      <c r="I17" s="53"/>
    </row>
    <row r="18" spans="1:9" x14ac:dyDescent="0.2">
      <c r="A18" s="93" t="s">
        <v>198</v>
      </c>
      <c r="B18" s="59"/>
      <c r="C18" s="56"/>
      <c r="D18" s="52"/>
      <c r="E18" s="53"/>
      <c r="F18" s="52"/>
      <c r="G18" s="53"/>
      <c r="H18" s="52"/>
      <c r="I18" s="53"/>
    </row>
    <row r="19" spans="1:9" x14ac:dyDescent="0.2">
      <c r="A19" s="93" t="s">
        <v>34</v>
      </c>
      <c r="B19" s="59"/>
      <c r="C19" s="56"/>
      <c r="D19" s="52"/>
      <c r="E19" s="53"/>
      <c r="F19" s="52"/>
      <c r="G19" s="53"/>
      <c r="H19" s="52"/>
      <c r="I19" s="53"/>
    </row>
    <row r="20" spans="1:9" x14ac:dyDescent="0.2">
      <c r="A20" s="93" t="s">
        <v>190</v>
      </c>
      <c r="B20" s="59"/>
      <c r="C20" s="56"/>
      <c r="D20" s="52"/>
      <c r="E20" s="53"/>
      <c r="F20" s="52"/>
      <c r="G20" s="53"/>
      <c r="H20" s="52"/>
      <c r="I20" s="53"/>
    </row>
    <row r="21" spans="1:9" ht="12.75" thickBot="1" x14ac:dyDescent="0.25">
      <c r="A21" s="93" t="s">
        <v>58</v>
      </c>
      <c r="B21" s="59"/>
      <c r="C21" s="56"/>
      <c r="D21" s="52"/>
      <c r="E21" s="53"/>
      <c r="F21" s="52"/>
      <c r="G21" s="53"/>
      <c r="H21" s="52"/>
      <c r="I21" s="53"/>
    </row>
    <row r="22" spans="1:9" ht="12.75" thickBot="1" x14ac:dyDescent="0.25">
      <c r="A22" s="31" t="s">
        <v>57</v>
      </c>
      <c r="B22" s="36"/>
      <c r="C22" s="36"/>
      <c r="D22" s="32"/>
      <c r="E22" s="37"/>
      <c r="F22" s="32"/>
      <c r="G22" s="37"/>
      <c r="H22" s="32"/>
      <c r="I22" s="37"/>
    </row>
    <row r="23" spans="1:9" x14ac:dyDescent="0.2">
      <c r="A23" s="1" t="s">
        <v>379</v>
      </c>
      <c r="B23" s="2"/>
      <c r="C23" s="2"/>
      <c r="D23" s="2"/>
      <c r="E23" s="2"/>
      <c r="F23" s="2"/>
      <c r="G23" s="2"/>
      <c r="H23" s="2"/>
      <c r="I23" s="2"/>
    </row>
    <row r="24" spans="1:9" x14ac:dyDescent="0.2">
      <c r="A24" s="1" t="s">
        <v>110</v>
      </c>
      <c r="B24" s="2"/>
      <c r="C24" s="2"/>
      <c r="D24" s="2"/>
      <c r="E24" s="2"/>
      <c r="F24" s="2"/>
      <c r="G24" s="2"/>
      <c r="H24" s="2"/>
      <c r="I24" s="2"/>
    </row>
    <row r="25" spans="1:9" x14ac:dyDescent="0.2">
      <c r="A25" s="1"/>
      <c r="B25" s="2"/>
      <c r="C25" s="2"/>
      <c r="D25" s="2"/>
      <c r="E25" s="2"/>
      <c r="F25" s="2"/>
      <c r="G25" s="2"/>
      <c r="H25" s="2"/>
      <c r="I25" s="2"/>
    </row>
  </sheetData>
  <sortState xmlns:xlrd2="http://schemas.microsoft.com/office/spreadsheetml/2017/richdata2" ref="A9:A24">
    <sortCondition ref="A9:A24"/>
  </sortState>
  <mergeCells count="4">
    <mergeCell ref="B4:C4"/>
    <mergeCell ref="F4:G4"/>
    <mergeCell ref="H4:I4"/>
    <mergeCell ref="D4:E4"/>
  </mergeCells>
  <phoneticPr fontId="0" type="noConversion"/>
  <printOptions horizontalCentered="1"/>
  <pageMargins left="0.25" right="0.25" top="0.75" bottom="0.75" header="0.3" footer="0.3"/>
  <pageSetup paperSize="9" scale="81" orientation="landscape" r:id="rId1"/>
  <headerFooter alignWithMargins="0">
    <oddHeader>&amp;C&amp;"Arial,Negrita"&amp;18PROYECTO DE PRESUPUESTO 2021</oddHeader>
    <oddFooter>&amp;L&amp;"Arial,Negrita"&amp;8PROYECTO DE PRESUPUESTO PARA EL AÑO FISCAL 2020
INFORMACIÓN PARA LA COMISIÓN DE PRESUPUESTO Y CUENTA GENERAL DE LA REPÚBLICA DEL CONGRESO DE LA REPÚBLICA</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23">
    <tabColor theme="9" tint="-0.249977111117893"/>
    <pageSetUpPr fitToPage="1"/>
  </sheetPr>
  <dimension ref="A1:AI95"/>
  <sheetViews>
    <sheetView view="pageLayout" topLeftCell="E45" zoomScale="85" zoomScaleNormal="100" zoomScaleSheetLayoutView="80" zoomScalePageLayoutView="85" workbookViewId="0">
      <selection activeCell="A4" sqref="A4:AI96"/>
    </sheetView>
  </sheetViews>
  <sheetFormatPr baseColWidth="10" defaultColWidth="11.42578125" defaultRowHeight="12" x14ac:dyDescent="0.2"/>
  <cols>
    <col min="1" max="1" width="43.7109375" style="3" customWidth="1"/>
    <col min="2" max="35" width="8.7109375" style="3" customWidth="1"/>
    <col min="36" max="16384" width="11.42578125" style="3"/>
  </cols>
  <sheetData>
    <row r="1" spans="1:35" s="89" customFormat="1" x14ac:dyDescent="0.2">
      <c r="A1" s="94" t="s">
        <v>470</v>
      </c>
    </row>
    <row r="2" spans="1:35" s="89" customFormat="1" x14ac:dyDescent="0.2">
      <c r="A2" s="92" t="s">
        <v>373</v>
      </c>
      <c r="B2" s="92"/>
      <c r="C2" s="92"/>
      <c r="D2" s="92"/>
      <c r="E2" s="92"/>
      <c r="F2" s="92"/>
      <c r="G2" s="92"/>
      <c r="H2" s="92"/>
      <c r="I2" s="92"/>
      <c r="J2" s="92"/>
      <c r="K2" s="92"/>
      <c r="L2" s="92"/>
      <c r="M2" s="92"/>
      <c r="N2" s="92"/>
      <c r="O2" s="92"/>
      <c r="P2" s="92"/>
      <c r="Q2" s="92"/>
      <c r="R2" s="92"/>
      <c r="S2" s="92"/>
      <c r="T2" s="92"/>
      <c r="U2" s="92"/>
      <c r="V2" s="92"/>
      <c r="W2" s="92"/>
      <c r="X2" s="92"/>
      <c r="Y2" s="92"/>
      <c r="Z2" s="92"/>
      <c r="AA2" s="92"/>
      <c r="AB2" s="92"/>
      <c r="AC2" s="92"/>
      <c r="AD2" s="92"/>
    </row>
    <row r="3" spans="1:35" s="94" customFormat="1" ht="12.75" thickBot="1" x14ac:dyDescent="0.25">
      <c r="A3" s="94" t="s">
        <v>380</v>
      </c>
    </row>
    <row r="4" spans="1:35" ht="30.75" customHeight="1" thickBot="1" x14ac:dyDescent="0.25">
      <c r="A4" s="622" t="s">
        <v>61</v>
      </c>
      <c r="B4" s="625" t="s">
        <v>381</v>
      </c>
      <c r="C4" s="625"/>
      <c r="D4" s="625"/>
      <c r="E4" s="625"/>
      <c r="F4" s="625"/>
      <c r="G4" s="625"/>
      <c r="H4" s="625"/>
      <c r="I4" s="625"/>
      <c r="J4" s="625"/>
      <c r="K4" s="625"/>
      <c r="L4" s="625"/>
      <c r="M4" s="625"/>
      <c r="N4" s="625"/>
      <c r="O4" s="625"/>
      <c r="P4" s="625"/>
      <c r="Q4" s="626" t="s">
        <v>471</v>
      </c>
      <c r="R4" s="625"/>
      <c r="S4" s="625"/>
      <c r="T4" s="625"/>
      <c r="U4" s="625"/>
      <c r="V4" s="625"/>
      <c r="W4" s="625"/>
      <c r="X4" s="625"/>
      <c r="Y4" s="625"/>
      <c r="Z4" s="625"/>
      <c r="AA4" s="625"/>
      <c r="AB4" s="625"/>
      <c r="AC4" s="625"/>
      <c r="AD4" s="625"/>
      <c r="AE4" s="627"/>
      <c r="AF4" s="620" t="s">
        <v>473</v>
      </c>
      <c r="AG4" s="621"/>
      <c r="AH4" s="620" t="s">
        <v>472</v>
      </c>
      <c r="AI4" s="621"/>
    </row>
    <row r="5" spans="1:35" ht="172.5" customHeight="1" x14ac:dyDescent="0.2">
      <c r="A5" s="623"/>
      <c r="B5" s="148" t="s">
        <v>11</v>
      </c>
      <c r="C5" s="149" t="s">
        <v>165</v>
      </c>
      <c r="D5" s="150" t="s">
        <v>307</v>
      </c>
      <c r="E5" s="150" t="s">
        <v>167</v>
      </c>
      <c r="F5" s="150" t="s">
        <v>202</v>
      </c>
      <c r="G5" s="150" t="s">
        <v>203</v>
      </c>
      <c r="H5" s="150" t="s">
        <v>204</v>
      </c>
      <c r="I5" s="150" t="s">
        <v>205</v>
      </c>
      <c r="J5" s="150" t="s">
        <v>168</v>
      </c>
      <c r="K5" s="150" t="s">
        <v>169</v>
      </c>
      <c r="L5" s="150" t="s">
        <v>170</v>
      </c>
      <c r="M5" s="150" t="s">
        <v>201</v>
      </c>
      <c r="N5" s="151" t="s">
        <v>139</v>
      </c>
      <c r="O5" s="152" t="s">
        <v>175</v>
      </c>
      <c r="P5" s="153" t="s">
        <v>174</v>
      </c>
      <c r="Q5" s="148" t="s">
        <v>11</v>
      </c>
      <c r="R5" s="149" t="s">
        <v>165</v>
      </c>
      <c r="S5" s="150" t="s">
        <v>166</v>
      </c>
      <c r="T5" s="150" t="s">
        <v>167</v>
      </c>
      <c r="U5" s="150" t="s">
        <v>202</v>
      </c>
      <c r="V5" s="150" t="s">
        <v>203</v>
      </c>
      <c r="W5" s="150" t="s">
        <v>204</v>
      </c>
      <c r="X5" s="150" t="s">
        <v>205</v>
      </c>
      <c r="Y5" s="150" t="s">
        <v>168</v>
      </c>
      <c r="Z5" s="150" t="s">
        <v>169</v>
      </c>
      <c r="AA5" s="150" t="s">
        <v>170</v>
      </c>
      <c r="AB5" s="150" t="s">
        <v>201</v>
      </c>
      <c r="AC5" s="151" t="s">
        <v>139</v>
      </c>
      <c r="AD5" s="152" t="s">
        <v>175</v>
      </c>
      <c r="AE5" s="153" t="s">
        <v>382</v>
      </c>
      <c r="AF5" s="154" t="s">
        <v>179</v>
      </c>
      <c r="AG5" s="154" t="s">
        <v>178</v>
      </c>
      <c r="AH5" s="154" t="s">
        <v>11</v>
      </c>
      <c r="AI5" s="153" t="s">
        <v>383</v>
      </c>
    </row>
    <row r="6" spans="1:35" ht="15.75" customHeight="1" thickBot="1" x14ac:dyDescent="0.25">
      <c r="A6" s="624"/>
      <c r="B6" s="155" t="s">
        <v>62</v>
      </c>
      <c r="C6" s="156" t="s">
        <v>63</v>
      </c>
      <c r="D6" s="157" t="s">
        <v>64</v>
      </c>
      <c r="E6" s="157" t="s">
        <v>65</v>
      </c>
      <c r="F6" s="158" t="s">
        <v>66</v>
      </c>
      <c r="G6" s="158" t="s">
        <v>67</v>
      </c>
      <c r="H6" s="158" t="s">
        <v>97</v>
      </c>
      <c r="I6" s="158" t="s">
        <v>138</v>
      </c>
      <c r="J6" s="158" t="s">
        <v>173</v>
      </c>
      <c r="K6" s="158" t="s">
        <v>177</v>
      </c>
      <c r="L6" s="158" t="s">
        <v>210</v>
      </c>
      <c r="M6" s="158" t="s">
        <v>211</v>
      </c>
      <c r="N6" s="159" t="s">
        <v>213</v>
      </c>
      <c r="O6" s="160" t="s">
        <v>214</v>
      </c>
      <c r="P6" s="161" t="s">
        <v>215</v>
      </c>
      <c r="Q6" s="155" t="s">
        <v>62</v>
      </c>
      <c r="R6" s="156" t="s">
        <v>63</v>
      </c>
      <c r="S6" s="157" t="s">
        <v>64</v>
      </c>
      <c r="T6" s="157" t="s">
        <v>65</v>
      </c>
      <c r="U6" s="158" t="s">
        <v>66</v>
      </c>
      <c r="V6" s="158" t="s">
        <v>67</v>
      </c>
      <c r="W6" s="158" t="s">
        <v>97</v>
      </c>
      <c r="X6" s="158" t="s">
        <v>138</v>
      </c>
      <c r="Y6" s="158" t="s">
        <v>173</v>
      </c>
      <c r="Z6" s="158" t="s">
        <v>177</v>
      </c>
      <c r="AA6" s="158" t="s">
        <v>210</v>
      </c>
      <c r="AB6" s="158" t="s">
        <v>211</v>
      </c>
      <c r="AC6" s="159" t="s">
        <v>213</v>
      </c>
      <c r="AD6" s="160" t="s">
        <v>214</v>
      </c>
      <c r="AE6" s="161" t="s">
        <v>215</v>
      </c>
      <c r="AF6" s="162"/>
      <c r="AG6" s="155"/>
      <c r="AH6" s="162"/>
      <c r="AI6" s="155"/>
    </row>
    <row r="7" spans="1:35" x14ac:dyDescent="0.2">
      <c r="A7" s="41"/>
      <c r="B7" s="10"/>
      <c r="C7" s="7"/>
      <c r="D7" s="7"/>
      <c r="E7" s="7"/>
      <c r="F7" s="7"/>
      <c r="G7" s="7"/>
      <c r="H7" s="7"/>
      <c r="I7" s="7"/>
      <c r="J7" s="7"/>
      <c r="K7" s="7"/>
      <c r="L7" s="7"/>
      <c r="M7" s="7"/>
      <c r="O7" s="45"/>
      <c r="P7" s="11"/>
      <c r="Q7" s="10"/>
      <c r="R7" s="7"/>
      <c r="S7" s="7"/>
      <c r="T7" s="7"/>
      <c r="U7" s="7"/>
      <c r="V7" s="7"/>
      <c r="W7" s="7"/>
      <c r="X7" s="7"/>
      <c r="Y7" s="7"/>
      <c r="Z7" s="7"/>
      <c r="AA7" s="7"/>
      <c r="AB7" s="7"/>
      <c r="AD7" s="45"/>
      <c r="AE7" s="11"/>
      <c r="AF7" s="11"/>
      <c r="AG7" s="10"/>
      <c r="AH7" s="11"/>
      <c r="AI7" s="10"/>
    </row>
    <row r="8" spans="1:35" x14ac:dyDescent="0.2">
      <c r="A8" s="10" t="s">
        <v>68</v>
      </c>
      <c r="B8" s="10"/>
      <c r="C8" s="7"/>
      <c r="D8" s="7"/>
      <c r="E8" s="7"/>
      <c r="F8" s="7"/>
      <c r="G8" s="7"/>
      <c r="H8" s="7"/>
      <c r="I8" s="7"/>
      <c r="J8" s="7"/>
      <c r="K8" s="7"/>
      <c r="L8" s="7"/>
      <c r="M8" s="7"/>
      <c r="O8" s="45"/>
      <c r="P8" s="11"/>
      <c r="Q8" s="10"/>
      <c r="R8" s="7"/>
      <c r="S8" s="7"/>
      <c r="T8" s="7"/>
      <c r="U8" s="7"/>
      <c r="V8" s="7"/>
      <c r="W8" s="7"/>
      <c r="X8" s="7"/>
      <c r="Y8" s="7"/>
      <c r="Z8" s="7"/>
      <c r="AA8" s="7"/>
      <c r="AB8" s="7"/>
      <c r="AD8" s="45"/>
      <c r="AE8" s="11"/>
      <c r="AF8" s="11"/>
      <c r="AG8" s="10"/>
      <c r="AH8" s="11"/>
      <c r="AI8" s="10"/>
    </row>
    <row r="9" spans="1:35" x14ac:dyDescent="0.2">
      <c r="A9" s="10" t="s">
        <v>7</v>
      </c>
      <c r="B9" s="10"/>
      <c r="C9" s="7"/>
      <c r="D9" s="7"/>
      <c r="E9" s="7"/>
      <c r="F9" s="7"/>
      <c r="G9" s="7"/>
      <c r="H9" s="7"/>
      <c r="I9" s="7"/>
      <c r="J9" s="7"/>
      <c r="K9" s="7"/>
      <c r="L9" s="7"/>
      <c r="M9" s="7"/>
      <c r="O9" s="45"/>
      <c r="P9" s="11"/>
      <c r="Q9" s="10"/>
      <c r="R9" s="7"/>
      <c r="S9" s="7"/>
      <c r="T9" s="7"/>
      <c r="U9" s="7"/>
      <c r="V9" s="7"/>
      <c r="W9" s="7"/>
      <c r="X9" s="7"/>
      <c r="Y9" s="7"/>
      <c r="Z9" s="7"/>
      <c r="AA9" s="7"/>
      <c r="AB9" s="7"/>
      <c r="AD9" s="45"/>
      <c r="AE9" s="11"/>
      <c r="AF9" s="11"/>
      <c r="AG9" s="10"/>
      <c r="AH9" s="11"/>
      <c r="AI9" s="10"/>
    </row>
    <row r="10" spans="1:35" x14ac:dyDescent="0.2">
      <c r="A10" s="10" t="s">
        <v>3</v>
      </c>
      <c r="B10" s="10">
        <v>1</v>
      </c>
      <c r="C10" s="7">
        <v>14300</v>
      </c>
      <c r="D10" s="7">
        <v>0</v>
      </c>
      <c r="E10" s="7"/>
      <c r="F10" s="7"/>
      <c r="G10" s="7"/>
      <c r="H10" s="7"/>
      <c r="I10" s="7"/>
      <c r="J10" s="7"/>
      <c r="K10" s="536">
        <f>SUM(C10:J10)</f>
        <v>14300</v>
      </c>
      <c r="L10" s="7">
        <v>1000</v>
      </c>
      <c r="M10" s="7"/>
      <c r="N10" s="5">
        <f>L10+M10</f>
        <v>1000</v>
      </c>
      <c r="O10" s="537">
        <f>(K10*12)+N10</f>
        <v>172600</v>
      </c>
      <c r="P10" s="538">
        <f>B10+O10</f>
        <v>172601</v>
      </c>
      <c r="Q10" s="10">
        <v>1</v>
      </c>
      <c r="R10" s="7">
        <v>14300</v>
      </c>
      <c r="S10" s="7">
        <v>0</v>
      </c>
      <c r="T10" s="7"/>
      <c r="U10" s="7"/>
      <c r="V10" s="7"/>
      <c r="W10" s="7"/>
      <c r="X10" s="7"/>
      <c r="Y10" s="7"/>
      <c r="Z10" s="536">
        <f>SUM(R10:Y10)</f>
        <v>14300</v>
      </c>
      <c r="AA10" s="7">
        <v>1000</v>
      </c>
      <c r="AB10" s="7"/>
      <c r="AC10" s="5">
        <f>AA10+AB10</f>
        <v>1000</v>
      </c>
      <c r="AD10" s="537">
        <f>(Z10*12)+AC10</f>
        <v>172600</v>
      </c>
      <c r="AE10" s="538">
        <f>Q10+AD10</f>
        <v>172601</v>
      </c>
      <c r="AF10" s="11">
        <f>AD10-O10</f>
        <v>0</v>
      </c>
      <c r="AG10" s="11">
        <f>AE10-P10</f>
        <v>0</v>
      </c>
      <c r="AH10" s="11">
        <f>Q10-B10</f>
        <v>0</v>
      </c>
      <c r="AI10" s="10">
        <f>AE10</f>
        <v>172601</v>
      </c>
    </row>
    <row r="11" spans="1:35" x14ac:dyDescent="0.2">
      <c r="A11" s="10" t="s">
        <v>941</v>
      </c>
      <c r="B11" s="10">
        <v>1</v>
      </c>
      <c r="C11" s="7">
        <v>7150</v>
      </c>
      <c r="D11" s="7">
        <v>0</v>
      </c>
      <c r="E11" s="7"/>
      <c r="F11" s="7"/>
      <c r="G11" s="7"/>
      <c r="H11" s="7"/>
      <c r="I11" s="7"/>
      <c r="J11" s="7"/>
      <c r="K11" s="536">
        <f t="shared" ref="K11:K17" si="0">SUM(C11:J11)</f>
        <v>7150</v>
      </c>
      <c r="L11" s="7">
        <v>1000</v>
      </c>
      <c r="M11" s="7"/>
      <c r="N11" s="5">
        <f t="shared" ref="N11:N17" si="1">L11+M11</f>
        <v>1000</v>
      </c>
      <c r="O11" s="537">
        <f t="shared" ref="O11:O17" si="2">(K11*12)+N11</f>
        <v>86800</v>
      </c>
      <c r="P11" s="538">
        <f t="shared" ref="P11:P17" si="3">B11+O11</f>
        <v>86801</v>
      </c>
      <c r="Q11" s="10">
        <v>1</v>
      </c>
      <c r="R11" s="7">
        <v>7150</v>
      </c>
      <c r="S11" s="7">
        <v>0</v>
      </c>
      <c r="T11" s="7"/>
      <c r="U11" s="7"/>
      <c r="V11" s="7"/>
      <c r="W11" s="7"/>
      <c r="X11" s="7"/>
      <c r="Y11" s="7"/>
      <c r="Z11" s="536">
        <f t="shared" ref="Z11:Z17" si="4">SUM(R11:Y11)</f>
        <v>7150</v>
      </c>
      <c r="AA11" s="7">
        <v>1000</v>
      </c>
      <c r="AB11" s="7"/>
      <c r="AC11" s="5">
        <f t="shared" ref="AC11:AC17" si="5">AA11+AB11</f>
        <v>1000</v>
      </c>
      <c r="AD11" s="537">
        <f t="shared" ref="AD11:AD17" si="6">(Z11*12)+AC11</f>
        <v>86800</v>
      </c>
      <c r="AE11" s="538">
        <f t="shared" ref="AE11:AE17" si="7">Q11+AD11</f>
        <v>86801</v>
      </c>
      <c r="AF11" s="11"/>
      <c r="AG11" s="10"/>
      <c r="AH11" s="11"/>
      <c r="AI11" s="10">
        <f t="shared" ref="AI11:AI17" si="8">AE11</f>
        <v>86801</v>
      </c>
    </row>
    <row r="12" spans="1:35" x14ac:dyDescent="0.2">
      <c r="A12" s="10" t="s">
        <v>942</v>
      </c>
      <c r="B12" s="10">
        <v>1</v>
      </c>
      <c r="C12" s="7">
        <v>1214.7</v>
      </c>
      <c r="D12" s="7">
        <v>2063.91</v>
      </c>
      <c r="E12" s="7"/>
      <c r="F12" s="7"/>
      <c r="G12" s="7"/>
      <c r="H12" s="7"/>
      <c r="I12" s="7"/>
      <c r="J12" s="7"/>
      <c r="K12" s="536">
        <f t="shared" si="0"/>
        <v>3278.6099999999997</v>
      </c>
      <c r="L12" s="7">
        <v>1000</v>
      </c>
      <c r="M12" s="7"/>
      <c r="N12" s="5">
        <f t="shared" si="1"/>
        <v>1000</v>
      </c>
      <c r="O12" s="537">
        <f t="shared" si="2"/>
        <v>40343.319999999992</v>
      </c>
      <c r="P12" s="538">
        <f t="shared" si="3"/>
        <v>40344.319999999992</v>
      </c>
      <c r="Q12" s="10">
        <v>1</v>
      </c>
      <c r="R12" s="7">
        <v>1214.7</v>
      </c>
      <c r="S12" s="7">
        <v>2063.91</v>
      </c>
      <c r="T12" s="7"/>
      <c r="U12" s="7"/>
      <c r="V12" s="7"/>
      <c r="W12" s="7"/>
      <c r="X12" s="7"/>
      <c r="Y12" s="7"/>
      <c r="Z12" s="536">
        <f t="shared" si="4"/>
        <v>3278.6099999999997</v>
      </c>
      <c r="AA12" s="7">
        <v>1000</v>
      </c>
      <c r="AB12" s="7"/>
      <c r="AC12" s="5">
        <f t="shared" si="5"/>
        <v>1000</v>
      </c>
      <c r="AD12" s="537">
        <f t="shared" si="6"/>
        <v>40343.319999999992</v>
      </c>
      <c r="AE12" s="538">
        <f t="shared" si="7"/>
        <v>40344.319999999992</v>
      </c>
      <c r="AF12" s="11"/>
      <c r="AG12" s="10"/>
      <c r="AH12" s="11"/>
      <c r="AI12" s="10">
        <f t="shared" si="8"/>
        <v>40344.319999999992</v>
      </c>
    </row>
    <row r="13" spans="1:35" x14ac:dyDescent="0.2">
      <c r="A13" s="10" t="s">
        <v>943</v>
      </c>
      <c r="B13" s="10">
        <v>14</v>
      </c>
      <c r="C13" s="7">
        <v>1147.4199999999998</v>
      </c>
      <c r="D13" s="7">
        <v>1475</v>
      </c>
      <c r="E13" s="7"/>
      <c r="F13" s="7"/>
      <c r="G13" s="7"/>
      <c r="H13" s="7"/>
      <c r="I13" s="7"/>
      <c r="J13" s="7"/>
      <c r="K13" s="536">
        <f t="shared" si="0"/>
        <v>2622.42</v>
      </c>
      <c r="L13" s="7">
        <v>1000</v>
      </c>
      <c r="M13" s="7"/>
      <c r="N13" s="5">
        <f t="shared" si="1"/>
        <v>1000</v>
      </c>
      <c r="O13" s="537">
        <f t="shared" si="2"/>
        <v>32469.040000000001</v>
      </c>
      <c r="P13" s="538">
        <f t="shared" si="3"/>
        <v>32483.040000000001</v>
      </c>
      <c r="Q13" s="10">
        <v>14</v>
      </c>
      <c r="R13" s="7">
        <v>1147.4199999999998</v>
      </c>
      <c r="S13" s="7">
        <v>1475</v>
      </c>
      <c r="T13" s="7"/>
      <c r="U13" s="7"/>
      <c r="V13" s="7"/>
      <c r="W13" s="7"/>
      <c r="X13" s="7"/>
      <c r="Y13" s="7"/>
      <c r="Z13" s="536">
        <f t="shared" si="4"/>
        <v>2622.42</v>
      </c>
      <c r="AA13" s="7">
        <v>1000</v>
      </c>
      <c r="AB13" s="7"/>
      <c r="AC13" s="5">
        <f t="shared" si="5"/>
        <v>1000</v>
      </c>
      <c r="AD13" s="537">
        <f t="shared" si="6"/>
        <v>32469.040000000001</v>
      </c>
      <c r="AE13" s="538">
        <f t="shared" si="7"/>
        <v>32483.040000000001</v>
      </c>
      <c r="AF13" s="11"/>
      <c r="AG13" s="10"/>
      <c r="AH13" s="11"/>
      <c r="AI13" s="10">
        <f t="shared" si="8"/>
        <v>32483.040000000001</v>
      </c>
    </row>
    <row r="14" spans="1:35" x14ac:dyDescent="0.2">
      <c r="A14" s="10" t="s">
        <v>944</v>
      </c>
      <c r="B14" s="10">
        <v>22</v>
      </c>
      <c r="C14" s="7">
        <v>929.79000000000008</v>
      </c>
      <c r="D14" s="7">
        <v>1420.5</v>
      </c>
      <c r="E14" s="7"/>
      <c r="F14" s="7"/>
      <c r="G14" s="7"/>
      <c r="H14" s="7"/>
      <c r="I14" s="7"/>
      <c r="J14" s="7"/>
      <c r="K14" s="536">
        <f t="shared" si="0"/>
        <v>2350.29</v>
      </c>
      <c r="L14" s="7">
        <v>1000</v>
      </c>
      <c r="M14" s="7"/>
      <c r="N14" s="5">
        <f t="shared" si="1"/>
        <v>1000</v>
      </c>
      <c r="O14" s="537">
        <f t="shared" si="2"/>
        <v>29203.48</v>
      </c>
      <c r="P14" s="538">
        <f t="shared" si="3"/>
        <v>29225.48</v>
      </c>
      <c r="Q14" s="10">
        <v>22</v>
      </c>
      <c r="R14" s="7">
        <v>929.79000000000008</v>
      </c>
      <c r="S14" s="7">
        <v>1420.5</v>
      </c>
      <c r="T14" s="7"/>
      <c r="U14" s="7"/>
      <c r="V14" s="7"/>
      <c r="W14" s="7"/>
      <c r="X14" s="7"/>
      <c r="Y14" s="7"/>
      <c r="Z14" s="536">
        <f t="shared" si="4"/>
        <v>2350.29</v>
      </c>
      <c r="AA14" s="7">
        <v>1000</v>
      </c>
      <c r="AB14" s="7"/>
      <c r="AC14" s="5">
        <f t="shared" si="5"/>
        <v>1000</v>
      </c>
      <c r="AD14" s="537">
        <f t="shared" si="6"/>
        <v>29203.48</v>
      </c>
      <c r="AE14" s="538">
        <f t="shared" si="7"/>
        <v>29225.48</v>
      </c>
      <c r="AF14" s="11"/>
      <c r="AG14" s="10"/>
      <c r="AH14" s="11"/>
      <c r="AI14" s="10">
        <f t="shared" si="8"/>
        <v>29225.48</v>
      </c>
    </row>
    <row r="15" spans="1:35" x14ac:dyDescent="0.2">
      <c r="A15" s="10" t="s">
        <v>945</v>
      </c>
      <c r="B15" s="10">
        <v>16</v>
      </c>
      <c r="C15" s="7">
        <v>994.38400000000001</v>
      </c>
      <c r="D15" s="7">
        <v>1289.5999999999999</v>
      </c>
      <c r="E15" s="7"/>
      <c r="F15" s="7"/>
      <c r="G15" s="7"/>
      <c r="H15" s="7"/>
      <c r="I15" s="7"/>
      <c r="J15" s="7"/>
      <c r="K15" s="536">
        <f t="shared" si="0"/>
        <v>2283.9839999999999</v>
      </c>
      <c r="L15" s="7">
        <v>1000</v>
      </c>
      <c r="M15" s="7"/>
      <c r="N15" s="5">
        <f t="shared" si="1"/>
        <v>1000</v>
      </c>
      <c r="O15" s="537">
        <f t="shared" si="2"/>
        <v>28407.807999999997</v>
      </c>
      <c r="P15" s="538">
        <f t="shared" si="3"/>
        <v>28423.807999999997</v>
      </c>
      <c r="Q15" s="10">
        <v>16</v>
      </c>
      <c r="R15" s="7">
        <v>994.38400000000001</v>
      </c>
      <c r="S15" s="7">
        <v>1289.5999999999999</v>
      </c>
      <c r="T15" s="7"/>
      <c r="U15" s="7"/>
      <c r="V15" s="7"/>
      <c r="W15" s="7"/>
      <c r="X15" s="7"/>
      <c r="Y15" s="7"/>
      <c r="Z15" s="536">
        <f t="shared" si="4"/>
        <v>2283.9839999999999</v>
      </c>
      <c r="AA15" s="7">
        <v>1000</v>
      </c>
      <c r="AB15" s="7"/>
      <c r="AC15" s="5">
        <f t="shared" si="5"/>
        <v>1000</v>
      </c>
      <c r="AD15" s="537">
        <f t="shared" si="6"/>
        <v>28407.807999999997</v>
      </c>
      <c r="AE15" s="538">
        <f t="shared" si="7"/>
        <v>28423.807999999997</v>
      </c>
      <c r="AF15" s="11"/>
      <c r="AG15" s="10"/>
      <c r="AH15" s="11"/>
      <c r="AI15" s="10">
        <f t="shared" si="8"/>
        <v>28423.807999999997</v>
      </c>
    </row>
    <row r="16" spans="1:35" x14ac:dyDescent="0.2">
      <c r="A16" s="10" t="s">
        <v>946</v>
      </c>
      <c r="B16" s="10">
        <v>5</v>
      </c>
      <c r="C16" s="7">
        <v>862.24249999999995</v>
      </c>
      <c r="D16" s="7">
        <v>1242</v>
      </c>
      <c r="E16" s="7"/>
      <c r="F16" s="7"/>
      <c r="G16" s="7"/>
      <c r="H16" s="7"/>
      <c r="I16" s="7"/>
      <c r="J16" s="7"/>
      <c r="K16" s="536">
        <f t="shared" si="0"/>
        <v>2104.2424999999998</v>
      </c>
      <c r="L16" s="7">
        <v>1000</v>
      </c>
      <c r="M16" s="7"/>
      <c r="N16" s="5">
        <f t="shared" si="1"/>
        <v>1000</v>
      </c>
      <c r="O16" s="537">
        <f t="shared" si="2"/>
        <v>26250.909999999996</v>
      </c>
      <c r="P16" s="538">
        <f t="shared" si="3"/>
        <v>26255.909999999996</v>
      </c>
      <c r="Q16" s="10">
        <v>5</v>
      </c>
      <c r="R16" s="7">
        <v>862.24249999999995</v>
      </c>
      <c r="S16" s="7">
        <v>1242</v>
      </c>
      <c r="T16" s="7"/>
      <c r="U16" s="7"/>
      <c r="V16" s="7"/>
      <c r="W16" s="7"/>
      <c r="X16" s="7"/>
      <c r="Y16" s="7"/>
      <c r="Z16" s="536">
        <f t="shared" si="4"/>
        <v>2104.2424999999998</v>
      </c>
      <c r="AA16" s="7">
        <v>1000</v>
      </c>
      <c r="AB16" s="7"/>
      <c r="AC16" s="5">
        <f t="shared" si="5"/>
        <v>1000</v>
      </c>
      <c r="AD16" s="537">
        <f t="shared" si="6"/>
        <v>26250.909999999996</v>
      </c>
      <c r="AE16" s="538">
        <f t="shared" si="7"/>
        <v>26255.909999999996</v>
      </c>
      <c r="AF16" s="11"/>
      <c r="AG16" s="10"/>
      <c r="AH16" s="11"/>
      <c r="AI16" s="10">
        <f t="shared" si="8"/>
        <v>26255.909999999996</v>
      </c>
    </row>
    <row r="17" spans="1:35" x14ac:dyDescent="0.2">
      <c r="A17" s="10" t="s">
        <v>12</v>
      </c>
      <c r="B17" s="10">
        <v>32</v>
      </c>
      <c r="C17" s="7">
        <v>830.79193548387104</v>
      </c>
      <c r="D17" s="7">
        <v>1351.741935483871</v>
      </c>
      <c r="E17" s="7"/>
      <c r="F17" s="7"/>
      <c r="G17" s="7"/>
      <c r="H17" s="7"/>
      <c r="I17" s="7"/>
      <c r="J17" s="7"/>
      <c r="K17" s="536">
        <f t="shared" si="0"/>
        <v>2182.5338709677421</v>
      </c>
      <c r="L17" s="7">
        <v>1000</v>
      </c>
      <c r="M17" s="7"/>
      <c r="N17" s="5">
        <f t="shared" si="1"/>
        <v>1000</v>
      </c>
      <c r="O17" s="537">
        <f t="shared" si="2"/>
        <v>27190.406451612907</v>
      </c>
      <c r="P17" s="538">
        <f t="shared" si="3"/>
        <v>27222.406451612907</v>
      </c>
      <c r="Q17" s="10">
        <v>32</v>
      </c>
      <c r="R17" s="7">
        <v>830.79193548387104</v>
      </c>
      <c r="S17" s="7">
        <v>1351.741935483871</v>
      </c>
      <c r="T17" s="7"/>
      <c r="U17" s="7"/>
      <c r="V17" s="7"/>
      <c r="W17" s="7"/>
      <c r="X17" s="7"/>
      <c r="Y17" s="7"/>
      <c r="Z17" s="536">
        <f t="shared" si="4"/>
        <v>2182.5338709677421</v>
      </c>
      <c r="AA17" s="7">
        <v>1000</v>
      </c>
      <c r="AB17" s="7"/>
      <c r="AC17" s="5">
        <f t="shared" si="5"/>
        <v>1000</v>
      </c>
      <c r="AD17" s="537">
        <f t="shared" si="6"/>
        <v>27190.406451612907</v>
      </c>
      <c r="AE17" s="538">
        <f t="shared" si="7"/>
        <v>27222.406451612907</v>
      </c>
      <c r="AF17" s="11"/>
      <c r="AG17" s="10"/>
      <c r="AH17" s="11"/>
      <c r="AI17" s="10">
        <f t="shared" si="8"/>
        <v>27222.406451612907</v>
      </c>
    </row>
    <row r="18" spans="1:35" x14ac:dyDescent="0.2">
      <c r="A18" s="10"/>
      <c r="B18" s="10"/>
      <c r="C18" s="7"/>
      <c r="D18" s="7"/>
      <c r="E18" s="7"/>
      <c r="F18" s="7"/>
      <c r="G18" s="7"/>
      <c r="H18" s="7"/>
      <c r="I18" s="7"/>
      <c r="J18" s="7"/>
      <c r="K18" s="7"/>
      <c r="L18" s="7"/>
      <c r="M18" s="7"/>
      <c r="O18" s="45"/>
      <c r="P18" s="11"/>
      <c r="Q18" s="10"/>
      <c r="R18" s="7"/>
      <c r="S18" s="7"/>
      <c r="T18" s="7"/>
      <c r="U18" s="7"/>
      <c r="V18" s="7"/>
      <c r="W18" s="7"/>
      <c r="X18" s="7"/>
      <c r="Y18" s="7"/>
      <c r="Z18" s="7"/>
      <c r="AA18" s="7"/>
      <c r="AB18" s="7"/>
      <c r="AD18" s="45"/>
      <c r="AE18" s="11"/>
      <c r="AF18" s="11"/>
      <c r="AG18" s="10"/>
      <c r="AH18" s="11"/>
      <c r="AI18" s="10"/>
    </row>
    <row r="19" spans="1:35" x14ac:dyDescent="0.2">
      <c r="A19" s="10" t="s">
        <v>4</v>
      </c>
      <c r="B19" s="10"/>
      <c r="C19" s="7"/>
      <c r="D19" s="7"/>
      <c r="E19" s="7"/>
      <c r="F19" s="7"/>
      <c r="G19" s="7"/>
      <c r="H19" s="7"/>
      <c r="I19" s="7"/>
      <c r="J19" s="7"/>
      <c r="K19" s="7"/>
      <c r="L19" s="7"/>
      <c r="M19" s="7"/>
      <c r="O19" s="45"/>
      <c r="P19" s="11"/>
      <c r="Q19" s="10"/>
      <c r="R19" s="7"/>
      <c r="S19" s="7"/>
      <c r="T19" s="7"/>
      <c r="U19" s="7"/>
      <c r="V19" s="7"/>
      <c r="W19" s="7"/>
      <c r="X19" s="7"/>
      <c r="Y19" s="7"/>
      <c r="Z19" s="7"/>
      <c r="AA19" s="7"/>
      <c r="AB19" s="7"/>
      <c r="AD19" s="45"/>
      <c r="AE19" s="11"/>
      <c r="AF19" s="11"/>
      <c r="AG19" s="10"/>
      <c r="AH19" s="11"/>
      <c r="AI19" s="10"/>
    </row>
    <row r="20" spans="1:35" x14ac:dyDescent="0.2">
      <c r="A20" s="10" t="s">
        <v>13</v>
      </c>
      <c r="B20" s="10">
        <v>5</v>
      </c>
      <c r="C20" s="7">
        <v>768.92400000000009</v>
      </c>
      <c r="D20" s="7">
        <v>1314.4</v>
      </c>
      <c r="E20" s="7"/>
      <c r="F20" s="7"/>
      <c r="G20" s="7"/>
      <c r="H20" s="7"/>
      <c r="I20" s="7"/>
      <c r="J20" s="7"/>
      <c r="K20" s="536">
        <f t="shared" ref="K20:K24" si="9">SUM(C20:J20)</f>
        <v>2083.3240000000001</v>
      </c>
      <c r="L20" s="7">
        <v>1000</v>
      </c>
      <c r="M20" s="7"/>
      <c r="N20" s="5">
        <f t="shared" ref="N20:N24" si="10">L20+M20</f>
        <v>1000</v>
      </c>
      <c r="O20" s="537">
        <f t="shared" ref="O20:O24" si="11">(K20*12)+N20</f>
        <v>25999.887999999999</v>
      </c>
      <c r="P20" s="538">
        <f t="shared" ref="P20:P24" si="12">B20+O20</f>
        <v>26004.887999999999</v>
      </c>
      <c r="Q20" s="10">
        <v>5</v>
      </c>
      <c r="R20" s="7">
        <v>768.92400000000009</v>
      </c>
      <c r="S20" s="7">
        <v>1314.4</v>
      </c>
      <c r="T20" s="7"/>
      <c r="U20" s="7"/>
      <c r="V20" s="7"/>
      <c r="W20" s="7"/>
      <c r="X20" s="7"/>
      <c r="Y20" s="7"/>
      <c r="Z20" s="536">
        <f t="shared" ref="Z20:Z24" si="13">SUM(R20:Y20)</f>
        <v>2083.3240000000001</v>
      </c>
      <c r="AA20" s="7">
        <v>1000</v>
      </c>
      <c r="AB20" s="7"/>
      <c r="AC20" s="5">
        <f t="shared" ref="AC20:AC24" si="14">AA20+AB20</f>
        <v>1000</v>
      </c>
      <c r="AD20" s="537">
        <f t="shared" ref="AD20:AD24" si="15">(Z20*12)+AC20</f>
        <v>25999.887999999999</v>
      </c>
      <c r="AE20" s="538">
        <f t="shared" ref="AE20:AE24" si="16">Q20+AD20</f>
        <v>26004.887999999999</v>
      </c>
      <c r="AF20" s="11"/>
      <c r="AG20" s="10"/>
      <c r="AH20" s="11"/>
      <c r="AI20" s="10">
        <f t="shared" ref="AI20:AI24" si="17">AE20</f>
        <v>26004.887999999999</v>
      </c>
    </row>
    <row r="21" spans="1:35" x14ac:dyDescent="0.2">
      <c r="A21" s="10" t="s">
        <v>947</v>
      </c>
      <c r="B21" s="10">
        <v>1</v>
      </c>
      <c r="C21" s="7">
        <v>801.18999999999983</v>
      </c>
      <c r="D21" s="7">
        <v>1100</v>
      </c>
      <c r="E21" s="7"/>
      <c r="F21" s="7"/>
      <c r="G21" s="7"/>
      <c r="H21" s="7"/>
      <c r="I21" s="7"/>
      <c r="J21" s="7"/>
      <c r="K21" s="536">
        <f t="shared" si="9"/>
        <v>1901.1899999999998</v>
      </c>
      <c r="L21" s="7">
        <v>1000</v>
      </c>
      <c r="M21" s="7"/>
      <c r="N21" s="5">
        <f t="shared" si="10"/>
        <v>1000</v>
      </c>
      <c r="O21" s="537">
        <f t="shared" si="11"/>
        <v>23814.28</v>
      </c>
      <c r="P21" s="538">
        <f t="shared" si="12"/>
        <v>23815.279999999999</v>
      </c>
      <c r="Q21" s="10">
        <v>1</v>
      </c>
      <c r="R21" s="7">
        <v>801.18999999999983</v>
      </c>
      <c r="S21" s="7">
        <v>1100</v>
      </c>
      <c r="T21" s="7"/>
      <c r="U21" s="7"/>
      <c r="V21" s="7"/>
      <c r="W21" s="7"/>
      <c r="X21" s="7"/>
      <c r="Y21" s="7"/>
      <c r="Z21" s="536">
        <f t="shared" si="13"/>
        <v>1901.1899999999998</v>
      </c>
      <c r="AA21" s="7">
        <v>1000</v>
      </c>
      <c r="AB21" s="7"/>
      <c r="AC21" s="5">
        <f t="shared" si="14"/>
        <v>1000</v>
      </c>
      <c r="AD21" s="537">
        <f t="shared" si="15"/>
        <v>23814.28</v>
      </c>
      <c r="AE21" s="538">
        <f t="shared" si="16"/>
        <v>23815.279999999999</v>
      </c>
      <c r="AF21" s="11"/>
      <c r="AG21" s="10"/>
      <c r="AH21" s="11"/>
      <c r="AI21" s="10">
        <f t="shared" si="17"/>
        <v>23815.279999999999</v>
      </c>
    </row>
    <row r="22" spans="1:35" x14ac:dyDescent="0.2">
      <c r="A22" s="10" t="s">
        <v>948</v>
      </c>
      <c r="B22" s="10">
        <v>2</v>
      </c>
      <c r="C22" s="7">
        <v>669.11500000000001</v>
      </c>
      <c r="D22" s="7">
        <v>1368</v>
      </c>
      <c r="E22" s="7"/>
      <c r="F22" s="7"/>
      <c r="G22" s="7"/>
      <c r="H22" s="7"/>
      <c r="I22" s="7"/>
      <c r="J22" s="7"/>
      <c r="K22" s="536">
        <f t="shared" si="9"/>
        <v>2037.115</v>
      </c>
      <c r="L22" s="7">
        <v>1000</v>
      </c>
      <c r="M22" s="7"/>
      <c r="N22" s="5">
        <f t="shared" si="10"/>
        <v>1000</v>
      </c>
      <c r="O22" s="537">
        <f t="shared" si="11"/>
        <v>25445.38</v>
      </c>
      <c r="P22" s="538">
        <f t="shared" si="12"/>
        <v>25447.38</v>
      </c>
      <c r="Q22" s="10">
        <v>2</v>
      </c>
      <c r="R22" s="7">
        <v>669.11500000000001</v>
      </c>
      <c r="S22" s="7">
        <v>1368</v>
      </c>
      <c r="T22" s="7"/>
      <c r="U22" s="7"/>
      <c r="V22" s="7"/>
      <c r="W22" s="7"/>
      <c r="X22" s="7"/>
      <c r="Y22" s="7"/>
      <c r="Z22" s="536">
        <f t="shared" si="13"/>
        <v>2037.115</v>
      </c>
      <c r="AA22" s="7">
        <v>1000</v>
      </c>
      <c r="AB22" s="7"/>
      <c r="AC22" s="5">
        <f t="shared" si="14"/>
        <v>1000</v>
      </c>
      <c r="AD22" s="537">
        <f t="shared" si="15"/>
        <v>25445.38</v>
      </c>
      <c r="AE22" s="538">
        <f t="shared" si="16"/>
        <v>25447.38</v>
      </c>
      <c r="AF22" s="11"/>
      <c r="AG22" s="10"/>
      <c r="AH22" s="11"/>
      <c r="AI22" s="10">
        <f t="shared" si="17"/>
        <v>25447.38</v>
      </c>
    </row>
    <row r="23" spans="1:35" x14ac:dyDescent="0.2">
      <c r="A23" s="10" t="s">
        <v>949</v>
      </c>
      <c r="B23" s="10">
        <v>1</v>
      </c>
      <c r="C23" s="7">
        <v>632.34999999999991</v>
      </c>
      <c r="D23" s="7">
        <v>1368</v>
      </c>
      <c r="E23" s="7"/>
      <c r="F23" s="7"/>
      <c r="G23" s="7"/>
      <c r="H23" s="7"/>
      <c r="I23" s="7"/>
      <c r="J23" s="7"/>
      <c r="K23" s="536">
        <f t="shared" si="9"/>
        <v>2000.35</v>
      </c>
      <c r="L23" s="7">
        <v>1000</v>
      </c>
      <c r="M23" s="7"/>
      <c r="N23" s="5">
        <f t="shared" si="10"/>
        <v>1000</v>
      </c>
      <c r="O23" s="537">
        <f t="shared" si="11"/>
        <v>25004.199999999997</v>
      </c>
      <c r="P23" s="538">
        <f t="shared" si="12"/>
        <v>25005.199999999997</v>
      </c>
      <c r="Q23" s="10">
        <v>1</v>
      </c>
      <c r="R23" s="7">
        <v>632.34999999999991</v>
      </c>
      <c r="S23" s="7">
        <v>1368</v>
      </c>
      <c r="T23" s="7"/>
      <c r="U23" s="7"/>
      <c r="V23" s="7"/>
      <c r="W23" s="7"/>
      <c r="X23" s="7"/>
      <c r="Y23" s="7"/>
      <c r="Z23" s="536">
        <f t="shared" si="13"/>
        <v>2000.35</v>
      </c>
      <c r="AA23" s="7">
        <v>1000</v>
      </c>
      <c r="AB23" s="7"/>
      <c r="AC23" s="5">
        <f t="shared" si="14"/>
        <v>1000</v>
      </c>
      <c r="AD23" s="537">
        <f t="shared" si="15"/>
        <v>25004.199999999997</v>
      </c>
      <c r="AE23" s="538">
        <f t="shared" si="16"/>
        <v>25005.199999999997</v>
      </c>
      <c r="AF23" s="11"/>
      <c r="AG23" s="10"/>
      <c r="AH23" s="11"/>
      <c r="AI23" s="10">
        <f t="shared" si="17"/>
        <v>25005.199999999997</v>
      </c>
    </row>
    <row r="24" spans="1:35" x14ac:dyDescent="0.2">
      <c r="A24" s="10" t="s">
        <v>14</v>
      </c>
      <c r="B24" s="10">
        <v>1</v>
      </c>
      <c r="C24" s="7">
        <v>608.27</v>
      </c>
      <c r="D24" s="7">
        <v>1368</v>
      </c>
      <c r="E24" s="7"/>
      <c r="F24" s="7"/>
      <c r="G24" s="7"/>
      <c r="H24" s="7"/>
      <c r="I24" s="7"/>
      <c r="J24" s="7"/>
      <c r="K24" s="536">
        <f t="shared" si="9"/>
        <v>1976.27</v>
      </c>
      <c r="L24" s="7">
        <v>1000</v>
      </c>
      <c r="M24" s="7"/>
      <c r="N24" s="5">
        <f t="shared" si="10"/>
        <v>1000</v>
      </c>
      <c r="O24" s="537">
        <f t="shared" si="11"/>
        <v>24715.239999999998</v>
      </c>
      <c r="P24" s="538">
        <f t="shared" si="12"/>
        <v>24716.239999999998</v>
      </c>
      <c r="Q24" s="10">
        <v>1</v>
      </c>
      <c r="R24" s="7">
        <v>608.27</v>
      </c>
      <c r="S24" s="7">
        <v>1368</v>
      </c>
      <c r="T24" s="7"/>
      <c r="U24" s="7"/>
      <c r="V24" s="7"/>
      <c r="W24" s="7"/>
      <c r="X24" s="7"/>
      <c r="Y24" s="7"/>
      <c r="Z24" s="536">
        <f t="shared" si="13"/>
        <v>1976.27</v>
      </c>
      <c r="AA24" s="7">
        <v>1000</v>
      </c>
      <c r="AB24" s="7"/>
      <c r="AC24" s="5">
        <f t="shared" si="14"/>
        <v>1000</v>
      </c>
      <c r="AD24" s="537">
        <f t="shared" si="15"/>
        <v>24715.239999999998</v>
      </c>
      <c r="AE24" s="538">
        <f t="shared" si="16"/>
        <v>24716.239999999998</v>
      </c>
      <c r="AF24" s="11"/>
      <c r="AG24" s="10"/>
      <c r="AH24" s="11"/>
      <c r="AI24" s="10">
        <f t="shared" si="17"/>
        <v>24716.239999999998</v>
      </c>
    </row>
    <row r="25" spans="1:35" x14ac:dyDescent="0.2">
      <c r="A25" s="10"/>
      <c r="B25" s="10"/>
      <c r="C25" s="7"/>
      <c r="D25" s="7"/>
      <c r="E25" s="7"/>
      <c r="F25" s="7"/>
      <c r="G25" s="7"/>
      <c r="H25" s="7"/>
      <c r="I25" s="7"/>
      <c r="J25" s="7"/>
      <c r="K25" s="7"/>
      <c r="L25" s="7"/>
      <c r="M25" s="7"/>
      <c r="O25" s="45"/>
      <c r="P25" s="11"/>
      <c r="Q25" s="10"/>
      <c r="R25" s="7"/>
      <c r="S25" s="7"/>
      <c r="T25" s="7"/>
      <c r="U25" s="7"/>
      <c r="V25" s="7"/>
      <c r="W25" s="7"/>
      <c r="X25" s="7"/>
      <c r="Y25" s="7"/>
      <c r="Z25" s="7"/>
      <c r="AA25" s="7"/>
      <c r="AB25" s="7"/>
      <c r="AD25" s="45"/>
      <c r="AE25" s="11"/>
      <c r="AF25" s="11"/>
      <c r="AG25" s="10"/>
      <c r="AH25" s="11"/>
      <c r="AI25" s="10"/>
    </row>
    <row r="26" spans="1:35" x14ac:dyDescent="0.2">
      <c r="A26" s="10" t="s">
        <v>5</v>
      </c>
      <c r="B26" s="10"/>
      <c r="C26" s="7"/>
      <c r="D26" s="7"/>
      <c r="E26" s="7"/>
      <c r="F26" s="7"/>
      <c r="G26" s="7"/>
      <c r="H26" s="7"/>
      <c r="I26" s="7"/>
      <c r="J26" s="7"/>
      <c r="K26" s="7"/>
      <c r="L26" s="7"/>
      <c r="M26" s="7"/>
      <c r="O26" s="45"/>
      <c r="P26" s="11"/>
      <c r="Q26" s="10"/>
      <c r="R26" s="7"/>
      <c r="S26" s="7"/>
      <c r="T26" s="7"/>
      <c r="U26" s="7"/>
      <c r="V26" s="7"/>
      <c r="W26" s="7"/>
      <c r="X26" s="7"/>
      <c r="Y26" s="7"/>
      <c r="Z26" s="7"/>
      <c r="AA26" s="7"/>
      <c r="AB26" s="7"/>
      <c r="AD26" s="45"/>
      <c r="AE26" s="11"/>
      <c r="AF26" s="11"/>
      <c r="AG26" s="10"/>
      <c r="AH26" s="11"/>
      <c r="AI26" s="10"/>
    </row>
    <row r="27" spans="1:35" x14ac:dyDescent="0.2">
      <c r="A27" s="10" t="s">
        <v>15</v>
      </c>
      <c r="B27" s="10">
        <v>46</v>
      </c>
      <c r="C27" s="7">
        <v>603.50933333333342</v>
      </c>
      <c r="D27" s="7">
        <v>1312.2666666666667</v>
      </c>
      <c r="E27" s="7"/>
      <c r="F27" s="7"/>
      <c r="G27" s="7"/>
      <c r="H27" s="7"/>
      <c r="I27" s="7"/>
      <c r="J27" s="7"/>
      <c r="K27" s="536">
        <f t="shared" ref="K27:K31" si="18">SUM(C27:J27)</f>
        <v>1915.7760000000001</v>
      </c>
      <c r="L27" s="7">
        <v>1000</v>
      </c>
      <c r="M27" s="7"/>
      <c r="N27" s="5">
        <f t="shared" ref="N27:N31" si="19">L27+M27</f>
        <v>1000</v>
      </c>
      <c r="O27" s="537">
        <f t="shared" ref="O27:O31" si="20">(K27*12)+N27</f>
        <v>23989.312000000002</v>
      </c>
      <c r="P27" s="538">
        <f t="shared" ref="P27:P31" si="21">B27+O27</f>
        <v>24035.312000000002</v>
      </c>
      <c r="Q27" s="10">
        <v>46</v>
      </c>
      <c r="R27" s="7">
        <v>603.50933333333342</v>
      </c>
      <c r="S27" s="7">
        <v>1312.2666666666667</v>
      </c>
      <c r="T27" s="7"/>
      <c r="U27" s="7"/>
      <c r="V27" s="7"/>
      <c r="W27" s="7"/>
      <c r="X27" s="7"/>
      <c r="Y27" s="7"/>
      <c r="Z27" s="536">
        <f t="shared" ref="Z27:Z31" si="22">SUM(R27:Y27)</f>
        <v>1915.7760000000001</v>
      </c>
      <c r="AA27" s="7">
        <v>1000</v>
      </c>
      <c r="AB27" s="7"/>
      <c r="AC27" s="5">
        <f t="shared" ref="AC27:AC31" si="23">AA27+AB27</f>
        <v>1000</v>
      </c>
      <c r="AD27" s="537">
        <f t="shared" ref="AD27:AD31" si="24">(Z27*12)+AC27</f>
        <v>23989.312000000002</v>
      </c>
      <c r="AE27" s="538">
        <f t="shared" ref="AE27:AE31" si="25">Q27+AD27</f>
        <v>24035.312000000002</v>
      </c>
      <c r="AF27" s="11"/>
      <c r="AG27" s="10"/>
      <c r="AH27" s="11"/>
      <c r="AI27" s="10">
        <f t="shared" ref="AI27:AI31" si="26">AE27</f>
        <v>24035.312000000002</v>
      </c>
    </row>
    <row r="28" spans="1:35" x14ac:dyDescent="0.2">
      <c r="A28" s="10" t="s">
        <v>950</v>
      </c>
      <c r="B28" s="10">
        <v>14</v>
      </c>
      <c r="C28" s="7">
        <v>607.77857142857135</v>
      </c>
      <c r="D28" s="7">
        <v>1188.8571428571429</v>
      </c>
      <c r="E28" s="7"/>
      <c r="F28" s="7"/>
      <c r="G28" s="7"/>
      <c r="H28" s="7"/>
      <c r="I28" s="7"/>
      <c r="J28" s="7"/>
      <c r="K28" s="536">
        <f t="shared" si="18"/>
        <v>1796.6357142857141</v>
      </c>
      <c r="L28" s="7">
        <v>1000</v>
      </c>
      <c r="M28" s="7"/>
      <c r="N28" s="5">
        <f t="shared" si="19"/>
        <v>1000</v>
      </c>
      <c r="O28" s="537">
        <f t="shared" si="20"/>
        <v>22559.62857142857</v>
      </c>
      <c r="P28" s="538">
        <f t="shared" si="21"/>
        <v>22573.62857142857</v>
      </c>
      <c r="Q28" s="10">
        <v>14</v>
      </c>
      <c r="R28" s="7">
        <v>607.77857142857135</v>
      </c>
      <c r="S28" s="7">
        <v>1188.8571428571429</v>
      </c>
      <c r="T28" s="7"/>
      <c r="U28" s="7"/>
      <c r="V28" s="7"/>
      <c r="W28" s="7"/>
      <c r="X28" s="7"/>
      <c r="Y28" s="7"/>
      <c r="Z28" s="536">
        <f t="shared" si="22"/>
        <v>1796.6357142857141</v>
      </c>
      <c r="AA28" s="7">
        <v>1000</v>
      </c>
      <c r="AB28" s="7"/>
      <c r="AC28" s="5">
        <f t="shared" si="23"/>
        <v>1000</v>
      </c>
      <c r="AD28" s="537">
        <f t="shared" si="24"/>
        <v>22559.62857142857</v>
      </c>
      <c r="AE28" s="538">
        <f t="shared" si="25"/>
        <v>22573.62857142857</v>
      </c>
      <c r="AF28" s="11"/>
      <c r="AG28" s="10"/>
      <c r="AH28" s="11"/>
      <c r="AI28" s="10">
        <f t="shared" si="26"/>
        <v>22573.62857142857</v>
      </c>
    </row>
    <row r="29" spans="1:35" x14ac:dyDescent="0.2">
      <c r="A29" s="10" t="s">
        <v>951</v>
      </c>
      <c r="B29" s="10">
        <v>6</v>
      </c>
      <c r="C29" s="7">
        <v>577.52833333333319</v>
      </c>
      <c r="D29" s="7">
        <v>1159</v>
      </c>
      <c r="E29" s="7"/>
      <c r="F29" s="7"/>
      <c r="G29" s="7"/>
      <c r="H29" s="7"/>
      <c r="I29" s="7"/>
      <c r="J29" s="7"/>
      <c r="K29" s="536">
        <f t="shared" si="18"/>
        <v>1736.5283333333332</v>
      </c>
      <c r="L29" s="7">
        <v>1000</v>
      </c>
      <c r="M29" s="7"/>
      <c r="N29" s="5">
        <f t="shared" si="19"/>
        <v>1000</v>
      </c>
      <c r="O29" s="537">
        <f t="shared" si="20"/>
        <v>21838.339999999997</v>
      </c>
      <c r="P29" s="538">
        <f t="shared" si="21"/>
        <v>21844.339999999997</v>
      </c>
      <c r="Q29" s="10">
        <v>6</v>
      </c>
      <c r="R29" s="7">
        <v>577.52833333333319</v>
      </c>
      <c r="S29" s="7">
        <v>1159</v>
      </c>
      <c r="T29" s="7"/>
      <c r="U29" s="7"/>
      <c r="V29" s="7"/>
      <c r="W29" s="7"/>
      <c r="X29" s="7"/>
      <c r="Y29" s="7"/>
      <c r="Z29" s="536">
        <f t="shared" si="22"/>
        <v>1736.5283333333332</v>
      </c>
      <c r="AA29" s="7">
        <v>1000</v>
      </c>
      <c r="AB29" s="7"/>
      <c r="AC29" s="5">
        <f t="shared" si="23"/>
        <v>1000</v>
      </c>
      <c r="AD29" s="537">
        <f t="shared" si="24"/>
        <v>21838.339999999997</v>
      </c>
      <c r="AE29" s="538">
        <f t="shared" si="25"/>
        <v>21844.339999999997</v>
      </c>
      <c r="AF29" s="11"/>
      <c r="AG29" s="10"/>
      <c r="AH29" s="11"/>
      <c r="AI29" s="10">
        <f t="shared" si="26"/>
        <v>21844.339999999997</v>
      </c>
    </row>
    <row r="30" spans="1:35" x14ac:dyDescent="0.2">
      <c r="A30" s="10" t="s">
        <v>952</v>
      </c>
      <c r="B30" s="10">
        <v>1</v>
      </c>
      <c r="C30" s="7">
        <v>578.12</v>
      </c>
      <c r="D30" s="7">
        <v>1368</v>
      </c>
      <c r="E30" s="7"/>
      <c r="F30" s="7"/>
      <c r="G30" s="7"/>
      <c r="H30" s="7"/>
      <c r="I30" s="7"/>
      <c r="J30" s="7"/>
      <c r="K30" s="536">
        <f t="shared" si="18"/>
        <v>1946.12</v>
      </c>
      <c r="L30" s="7">
        <v>1000</v>
      </c>
      <c r="M30" s="7"/>
      <c r="N30" s="5">
        <f t="shared" si="19"/>
        <v>1000</v>
      </c>
      <c r="O30" s="537">
        <f t="shared" si="20"/>
        <v>24353.439999999999</v>
      </c>
      <c r="P30" s="538">
        <f t="shared" si="21"/>
        <v>24354.44</v>
      </c>
      <c r="Q30" s="10">
        <v>1</v>
      </c>
      <c r="R30" s="7">
        <v>578.12</v>
      </c>
      <c r="S30" s="7">
        <v>1368</v>
      </c>
      <c r="T30" s="7"/>
      <c r="U30" s="7"/>
      <c r="V30" s="7"/>
      <c r="W30" s="7"/>
      <c r="X30" s="7"/>
      <c r="Y30" s="7"/>
      <c r="Z30" s="536">
        <f t="shared" si="22"/>
        <v>1946.12</v>
      </c>
      <c r="AA30" s="7">
        <v>1000</v>
      </c>
      <c r="AB30" s="7"/>
      <c r="AC30" s="5">
        <f t="shared" si="23"/>
        <v>1000</v>
      </c>
      <c r="AD30" s="537">
        <f t="shared" si="24"/>
        <v>24353.439999999999</v>
      </c>
      <c r="AE30" s="538">
        <f t="shared" si="25"/>
        <v>24354.44</v>
      </c>
      <c r="AF30" s="11"/>
      <c r="AG30" s="10"/>
      <c r="AH30" s="11"/>
      <c r="AI30" s="10">
        <f t="shared" si="26"/>
        <v>24354.44</v>
      </c>
    </row>
    <row r="31" spans="1:35" x14ac:dyDescent="0.2">
      <c r="A31" s="10" t="s">
        <v>953</v>
      </c>
      <c r="B31" s="10">
        <v>1</v>
      </c>
      <c r="C31" s="7">
        <v>567.76</v>
      </c>
      <c r="D31" s="7">
        <v>950</v>
      </c>
      <c r="E31" s="7"/>
      <c r="F31" s="7"/>
      <c r="G31" s="7"/>
      <c r="H31" s="7"/>
      <c r="I31" s="7"/>
      <c r="J31" s="7"/>
      <c r="K31" s="536">
        <f t="shared" si="18"/>
        <v>1517.76</v>
      </c>
      <c r="L31" s="7">
        <v>1000</v>
      </c>
      <c r="M31" s="7"/>
      <c r="N31" s="5">
        <f t="shared" si="19"/>
        <v>1000</v>
      </c>
      <c r="O31" s="537">
        <f t="shared" si="20"/>
        <v>19213.12</v>
      </c>
      <c r="P31" s="538">
        <f t="shared" si="21"/>
        <v>19214.12</v>
      </c>
      <c r="Q31" s="10">
        <v>1</v>
      </c>
      <c r="R31" s="7">
        <v>567.76</v>
      </c>
      <c r="S31" s="7">
        <v>950</v>
      </c>
      <c r="T31" s="7"/>
      <c r="U31" s="7"/>
      <c r="V31" s="7"/>
      <c r="W31" s="7"/>
      <c r="X31" s="7"/>
      <c r="Y31" s="7"/>
      <c r="Z31" s="536">
        <f t="shared" si="22"/>
        <v>1517.76</v>
      </c>
      <c r="AA31" s="7">
        <v>1000</v>
      </c>
      <c r="AB31" s="7"/>
      <c r="AC31" s="5">
        <f t="shared" si="23"/>
        <v>1000</v>
      </c>
      <c r="AD31" s="537">
        <f t="shared" si="24"/>
        <v>19213.12</v>
      </c>
      <c r="AE31" s="538">
        <f t="shared" si="25"/>
        <v>19214.12</v>
      </c>
      <c r="AF31" s="11"/>
      <c r="AG31" s="10"/>
      <c r="AH31" s="11"/>
      <c r="AI31" s="10">
        <f t="shared" si="26"/>
        <v>19214.12</v>
      </c>
    </row>
    <row r="32" spans="1:35" x14ac:dyDescent="0.2">
      <c r="A32" s="10"/>
      <c r="B32" s="10"/>
      <c r="C32" s="7"/>
      <c r="D32" s="7"/>
      <c r="E32" s="7"/>
      <c r="F32" s="7"/>
      <c r="G32" s="7"/>
      <c r="H32" s="7"/>
      <c r="I32" s="7"/>
      <c r="J32" s="7"/>
      <c r="K32" s="536"/>
      <c r="L32" s="7"/>
      <c r="M32" s="7"/>
      <c r="N32" s="5"/>
      <c r="O32" s="537"/>
      <c r="P32" s="538"/>
      <c r="Q32" s="10"/>
      <c r="R32" s="7"/>
      <c r="S32" s="7"/>
      <c r="T32" s="7"/>
      <c r="U32" s="7"/>
      <c r="V32" s="7"/>
      <c r="W32" s="7"/>
      <c r="X32" s="7"/>
      <c r="Y32" s="7"/>
      <c r="Z32" s="536"/>
      <c r="AA32" s="7"/>
      <c r="AB32" s="7"/>
      <c r="AC32" s="5"/>
      <c r="AD32" s="537"/>
      <c r="AE32" s="538"/>
      <c r="AF32" s="11"/>
      <c r="AG32" s="10"/>
      <c r="AH32" s="11"/>
      <c r="AI32" s="10"/>
    </row>
    <row r="33" spans="1:35" x14ac:dyDescent="0.2">
      <c r="A33" s="10" t="s">
        <v>6</v>
      </c>
      <c r="B33" s="10"/>
      <c r="C33" s="7"/>
      <c r="D33" s="7"/>
      <c r="E33" s="7"/>
      <c r="F33" s="7"/>
      <c r="G33" s="7"/>
      <c r="H33" s="7"/>
      <c r="I33" s="7"/>
      <c r="J33" s="7"/>
      <c r="K33" s="7"/>
      <c r="L33" s="7"/>
      <c r="M33" s="7"/>
      <c r="O33" s="45"/>
      <c r="P33" s="11"/>
      <c r="Q33" s="10"/>
      <c r="R33" s="7"/>
      <c r="S33" s="7"/>
      <c r="T33" s="7"/>
      <c r="U33" s="7"/>
      <c r="V33" s="7"/>
      <c r="W33" s="7"/>
      <c r="X33" s="7"/>
      <c r="Y33" s="7"/>
      <c r="Z33" s="7"/>
      <c r="AA33" s="7"/>
      <c r="AB33" s="7"/>
      <c r="AD33" s="45"/>
      <c r="AE33" s="11"/>
      <c r="AF33" s="11"/>
      <c r="AG33" s="10"/>
      <c r="AH33" s="11"/>
      <c r="AI33" s="10"/>
    </row>
    <row r="34" spans="1:35" x14ac:dyDescent="0.2">
      <c r="A34" s="10" t="s">
        <v>16</v>
      </c>
      <c r="B34" s="10">
        <v>4</v>
      </c>
      <c r="C34" s="7">
        <v>562.26749999999993</v>
      </c>
      <c r="D34" s="7">
        <v>1263.5</v>
      </c>
      <c r="E34" s="7"/>
      <c r="F34" s="7"/>
      <c r="G34" s="7"/>
      <c r="H34" s="7"/>
      <c r="I34" s="7"/>
      <c r="J34" s="7"/>
      <c r="K34" s="536">
        <f t="shared" ref="K34:K35" si="27">SUM(C34:J34)</f>
        <v>1825.7674999999999</v>
      </c>
      <c r="L34" s="7">
        <v>1000</v>
      </c>
      <c r="M34" s="7"/>
      <c r="N34" s="5">
        <f t="shared" ref="N34:N35" si="28">L34+M34</f>
        <v>1000</v>
      </c>
      <c r="O34" s="537">
        <f t="shared" ref="O34:O35" si="29">(K34*12)+N34</f>
        <v>22909.21</v>
      </c>
      <c r="P34" s="538">
        <f t="shared" ref="P34:P35" si="30">B34+O34</f>
        <v>22913.21</v>
      </c>
      <c r="Q34" s="10">
        <v>4</v>
      </c>
      <c r="R34" s="7">
        <v>562.26749999999993</v>
      </c>
      <c r="S34" s="7">
        <v>1263.5</v>
      </c>
      <c r="T34" s="7"/>
      <c r="U34" s="7"/>
      <c r="V34" s="7"/>
      <c r="W34" s="7"/>
      <c r="X34" s="7"/>
      <c r="Y34" s="7"/>
      <c r="Z34" s="536">
        <f t="shared" ref="Z34:Z35" si="31">SUM(R34:Y34)</f>
        <v>1825.7674999999999</v>
      </c>
      <c r="AA34" s="7">
        <v>1000</v>
      </c>
      <c r="AB34" s="7"/>
      <c r="AC34" s="5">
        <f t="shared" ref="AC34:AC35" si="32">AA34+AB34</f>
        <v>1000</v>
      </c>
      <c r="AD34" s="537">
        <f t="shared" ref="AD34:AD35" si="33">(Z34*12)+AC34</f>
        <v>22909.21</v>
      </c>
      <c r="AE34" s="538">
        <f t="shared" ref="AE34:AE35" si="34">Q34+AD34</f>
        <v>22913.21</v>
      </c>
      <c r="AF34" s="11"/>
      <c r="AG34" s="10"/>
      <c r="AH34" s="11"/>
      <c r="AI34" s="10">
        <f t="shared" ref="AI34:AI35" si="35">AE34</f>
        <v>22913.21</v>
      </c>
    </row>
    <row r="35" spans="1:35" x14ac:dyDescent="0.2">
      <c r="A35" s="10" t="s">
        <v>954</v>
      </c>
      <c r="B35" s="10">
        <v>2</v>
      </c>
      <c r="C35" s="7">
        <v>569.41</v>
      </c>
      <c r="D35" s="7">
        <v>1368</v>
      </c>
      <c r="E35" s="7"/>
      <c r="F35" s="7"/>
      <c r="G35" s="7"/>
      <c r="H35" s="7"/>
      <c r="I35" s="7"/>
      <c r="J35" s="7"/>
      <c r="K35" s="536">
        <f t="shared" si="27"/>
        <v>1937.4099999999999</v>
      </c>
      <c r="L35" s="7">
        <v>1000</v>
      </c>
      <c r="M35" s="7"/>
      <c r="N35" s="5">
        <f t="shared" si="28"/>
        <v>1000</v>
      </c>
      <c r="O35" s="537">
        <f t="shared" si="29"/>
        <v>24248.92</v>
      </c>
      <c r="P35" s="538">
        <f t="shared" si="30"/>
        <v>24250.92</v>
      </c>
      <c r="Q35" s="10">
        <v>2</v>
      </c>
      <c r="R35" s="7">
        <v>569.41</v>
      </c>
      <c r="S35" s="7">
        <v>1368</v>
      </c>
      <c r="T35" s="7"/>
      <c r="U35" s="7"/>
      <c r="V35" s="7"/>
      <c r="W35" s="7"/>
      <c r="X35" s="7"/>
      <c r="Y35" s="7"/>
      <c r="Z35" s="536">
        <f t="shared" si="31"/>
        <v>1937.4099999999999</v>
      </c>
      <c r="AA35" s="7">
        <v>1000</v>
      </c>
      <c r="AB35" s="7"/>
      <c r="AC35" s="5">
        <f t="shared" si="32"/>
        <v>1000</v>
      </c>
      <c r="AD35" s="537">
        <f t="shared" si="33"/>
        <v>24248.92</v>
      </c>
      <c r="AE35" s="538">
        <f t="shared" si="34"/>
        <v>24250.92</v>
      </c>
      <c r="AF35" s="11"/>
      <c r="AG35" s="10"/>
      <c r="AH35" s="11"/>
      <c r="AI35" s="10">
        <f t="shared" si="35"/>
        <v>24250.92</v>
      </c>
    </row>
    <row r="36" spans="1:35" x14ac:dyDescent="0.2">
      <c r="A36" s="10" t="s">
        <v>70</v>
      </c>
      <c r="B36" s="10"/>
      <c r="C36" s="7"/>
      <c r="D36" s="7"/>
      <c r="E36" s="7"/>
      <c r="F36" s="7"/>
      <c r="G36" s="7"/>
      <c r="H36" s="7"/>
      <c r="I36" s="7"/>
      <c r="J36" s="7"/>
      <c r="K36" s="7"/>
      <c r="L36" s="7"/>
      <c r="M36" s="7"/>
      <c r="O36" s="45"/>
      <c r="P36" s="11"/>
      <c r="Q36" s="10"/>
      <c r="R36" s="7"/>
      <c r="S36" s="7"/>
      <c r="T36" s="7"/>
      <c r="U36" s="7"/>
      <c r="V36" s="7"/>
      <c r="W36" s="7"/>
      <c r="X36" s="7"/>
      <c r="Y36" s="7"/>
      <c r="Z36" s="7"/>
      <c r="AA36" s="7"/>
      <c r="AB36" s="7"/>
      <c r="AD36" s="45"/>
      <c r="AE36" s="11"/>
      <c r="AF36" s="11"/>
      <c r="AG36" s="10"/>
      <c r="AH36" s="11"/>
      <c r="AI36" s="10"/>
    </row>
    <row r="37" spans="1:35" x14ac:dyDescent="0.2">
      <c r="A37" s="10" t="s">
        <v>69</v>
      </c>
      <c r="B37" s="10"/>
      <c r="C37" s="7"/>
      <c r="D37" s="7"/>
      <c r="E37" s="7"/>
      <c r="F37" s="7"/>
      <c r="G37" s="7"/>
      <c r="H37" s="7"/>
      <c r="I37" s="7"/>
      <c r="J37" s="7"/>
      <c r="K37" s="7"/>
      <c r="L37" s="7"/>
      <c r="M37" s="7"/>
      <c r="O37" s="45"/>
      <c r="P37" s="11"/>
      <c r="Q37" s="10"/>
      <c r="R37" s="7"/>
      <c r="S37" s="7"/>
      <c r="T37" s="7"/>
      <c r="U37" s="7"/>
      <c r="V37" s="7"/>
      <c r="W37" s="7"/>
      <c r="X37" s="7"/>
      <c r="Y37" s="7"/>
      <c r="Z37" s="7"/>
      <c r="AA37" s="7"/>
      <c r="AB37" s="7"/>
      <c r="AD37" s="45"/>
      <c r="AE37" s="11"/>
      <c r="AF37" s="11"/>
      <c r="AG37" s="10"/>
      <c r="AH37" s="11"/>
      <c r="AI37" s="10"/>
    </row>
    <row r="38" spans="1:35" x14ac:dyDescent="0.2">
      <c r="A38" s="10" t="s">
        <v>69</v>
      </c>
      <c r="B38" s="10"/>
      <c r="C38" s="7"/>
      <c r="D38" s="7"/>
      <c r="E38" s="7"/>
      <c r="F38" s="7"/>
      <c r="G38" s="7"/>
      <c r="H38" s="7"/>
      <c r="I38" s="7"/>
      <c r="J38" s="7"/>
      <c r="K38" s="7"/>
      <c r="L38" s="7"/>
      <c r="M38" s="7"/>
      <c r="O38" s="45"/>
      <c r="P38" s="11"/>
      <c r="Q38" s="10"/>
      <c r="R38" s="7"/>
      <c r="S38" s="7"/>
      <c r="T38" s="7"/>
      <c r="U38" s="7"/>
      <c r="V38" s="7"/>
      <c r="W38" s="7"/>
      <c r="X38" s="7"/>
      <c r="Y38" s="7"/>
      <c r="Z38" s="7"/>
      <c r="AA38" s="7"/>
      <c r="AB38" s="7"/>
      <c r="AD38" s="45"/>
      <c r="AE38" s="11"/>
      <c r="AF38" s="11"/>
      <c r="AG38" s="10"/>
      <c r="AH38" s="11"/>
      <c r="AI38" s="10"/>
    </row>
    <row r="39" spans="1:35" x14ac:dyDescent="0.2">
      <c r="A39" s="10" t="s">
        <v>71</v>
      </c>
      <c r="B39" s="10"/>
      <c r="C39" s="7"/>
      <c r="D39" s="7"/>
      <c r="E39" s="7"/>
      <c r="F39" s="7"/>
      <c r="G39" s="7"/>
      <c r="H39" s="7"/>
      <c r="I39" s="7"/>
      <c r="J39" s="7"/>
      <c r="K39" s="7"/>
      <c r="L39" s="7"/>
      <c r="M39" s="7"/>
      <c r="O39" s="45"/>
      <c r="P39" s="11"/>
      <c r="Q39" s="10"/>
      <c r="R39" s="7"/>
      <c r="S39" s="7"/>
      <c r="T39" s="7"/>
      <c r="U39" s="7"/>
      <c r="V39" s="7"/>
      <c r="W39" s="7"/>
      <c r="X39" s="7"/>
      <c r="Y39" s="7"/>
      <c r="Z39" s="7"/>
      <c r="AA39" s="7"/>
      <c r="AB39" s="7"/>
      <c r="AD39" s="45"/>
      <c r="AE39" s="11"/>
      <c r="AF39" s="11"/>
      <c r="AG39" s="10"/>
      <c r="AH39" s="11"/>
      <c r="AI39" s="10"/>
    </row>
    <row r="40" spans="1:35" x14ac:dyDescent="0.2">
      <c r="A40" s="10" t="s">
        <v>69</v>
      </c>
      <c r="B40" s="10"/>
      <c r="C40" s="7"/>
      <c r="D40" s="7"/>
      <c r="E40" s="7"/>
      <c r="F40" s="7"/>
      <c r="G40" s="7"/>
      <c r="H40" s="7"/>
      <c r="I40" s="7"/>
      <c r="J40" s="7"/>
      <c r="K40" s="7"/>
      <c r="L40" s="7"/>
      <c r="M40" s="7"/>
      <c r="O40" s="45"/>
      <c r="P40" s="11"/>
      <c r="Q40" s="10"/>
      <c r="R40" s="7"/>
      <c r="S40" s="7"/>
      <c r="T40" s="7"/>
      <c r="U40" s="7"/>
      <c r="V40" s="7"/>
      <c r="W40" s="7"/>
      <c r="X40" s="7"/>
      <c r="Y40" s="7"/>
      <c r="Z40" s="7"/>
      <c r="AA40" s="7"/>
      <c r="AB40" s="7"/>
      <c r="AD40" s="45"/>
      <c r="AE40" s="11"/>
      <c r="AF40" s="11"/>
      <c r="AG40" s="10"/>
      <c r="AH40" s="11"/>
      <c r="AI40" s="10"/>
    </row>
    <row r="41" spans="1:35" x14ac:dyDescent="0.2">
      <c r="A41" s="10" t="s">
        <v>69</v>
      </c>
      <c r="B41" s="10"/>
      <c r="C41" s="7"/>
      <c r="D41" s="7"/>
      <c r="E41" s="7"/>
      <c r="F41" s="7"/>
      <c r="G41" s="7"/>
      <c r="H41" s="7"/>
      <c r="I41" s="7"/>
      <c r="J41" s="7"/>
      <c r="K41" s="7"/>
      <c r="L41" s="7"/>
      <c r="M41" s="7"/>
      <c r="O41" s="45"/>
      <c r="P41" s="11"/>
      <c r="Q41" s="10"/>
      <c r="R41" s="7"/>
      <c r="S41" s="7"/>
      <c r="T41" s="7"/>
      <c r="U41" s="7"/>
      <c r="V41" s="7"/>
      <c r="W41" s="7"/>
      <c r="X41" s="7"/>
      <c r="Y41" s="7"/>
      <c r="Z41" s="7"/>
      <c r="AA41" s="7"/>
      <c r="AB41" s="7"/>
      <c r="AD41" s="45"/>
      <c r="AE41" s="11"/>
      <c r="AF41" s="11"/>
      <c r="AG41" s="10"/>
      <c r="AH41" s="11"/>
      <c r="AI41" s="10"/>
    </row>
    <row r="42" spans="1:35" x14ac:dyDescent="0.2">
      <c r="A42" s="10" t="s">
        <v>72</v>
      </c>
      <c r="B42" s="10"/>
      <c r="C42" s="7"/>
      <c r="D42" s="7"/>
      <c r="E42" s="7"/>
      <c r="F42" s="7"/>
      <c r="G42" s="7"/>
      <c r="H42" s="7"/>
      <c r="I42" s="7"/>
      <c r="J42" s="7"/>
      <c r="K42" s="7"/>
      <c r="L42" s="7"/>
      <c r="M42" s="7"/>
      <c r="O42" s="45"/>
      <c r="P42" s="11"/>
      <c r="Q42" s="10"/>
      <c r="R42" s="7"/>
      <c r="S42" s="7"/>
      <c r="T42" s="7"/>
      <c r="U42" s="7"/>
      <c r="V42" s="7"/>
      <c r="W42" s="7"/>
      <c r="X42" s="7"/>
      <c r="Y42" s="7"/>
      <c r="Z42" s="7"/>
      <c r="AA42" s="7"/>
      <c r="AB42" s="7"/>
      <c r="AD42" s="45"/>
      <c r="AE42" s="11"/>
      <c r="AF42" s="11"/>
      <c r="AG42" s="10"/>
      <c r="AH42" s="11"/>
      <c r="AI42" s="10"/>
    </row>
    <row r="43" spans="1:35" x14ac:dyDescent="0.2">
      <c r="A43" s="10" t="s">
        <v>69</v>
      </c>
      <c r="B43" s="10"/>
      <c r="C43" s="7"/>
      <c r="D43" s="7"/>
      <c r="E43" s="7"/>
      <c r="F43" s="7"/>
      <c r="G43" s="7"/>
      <c r="H43" s="7"/>
      <c r="I43" s="7"/>
      <c r="J43" s="7"/>
      <c r="K43" s="7"/>
      <c r="L43" s="7"/>
      <c r="M43" s="7"/>
      <c r="O43" s="45"/>
      <c r="P43" s="11"/>
      <c r="Q43" s="10"/>
      <c r="R43" s="7"/>
      <c r="S43" s="7"/>
      <c r="T43" s="7"/>
      <c r="U43" s="7"/>
      <c r="V43" s="7"/>
      <c r="W43" s="7"/>
      <c r="X43" s="7"/>
      <c r="Y43" s="7"/>
      <c r="Z43" s="7"/>
      <c r="AA43" s="7"/>
      <c r="AB43" s="7"/>
      <c r="AD43" s="45"/>
      <c r="AE43" s="11"/>
      <c r="AF43" s="11"/>
      <c r="AG43" s="10"/>
      <c r="AH43" s="11"/>
      <c r="AI43" s="10"/>
    </row>
    <row r="44" spans="1:35" x14ac:dyDescent="0.2">
      <c r="A44" s="10" t="s">
        <v>69</v>
      </c>
      <c r="B44" s="10"/>
      <c r="C44" s="7"/>
      <c r="D44" s="7"/>
      <c r="E44" s="7"/>
      <c r="F44" s="7"/>
      <c r="G44" s="7"/>
      <c r="H44" s="7"/>
      <c r="I44" s="7"/>
      <c r="J44" s="7"/>
      <c r="K44" s="7"/>
      <c r="L44" s="7"/>
      <c r="M44" s="7"/>
      <c r="O44" s="45"/>
      <c r="P44" s="11"/>
      <c r="Q44" s="10"/>
      <c r="R44" s="7"/>
      <c r="S44" s="7"/>
      <c r="T44" s="7"/>
      <c r="U44" s="7"/>
      <c r="V44" s="7"/>
      <c r="W44" s="7"/>
      <c r="X44" s="7"/>
      <c r="Y44" s="7"/>
      <c r="Z44" s="7"/>
      <c r="AA44" s="7"/>
      <c r="AB44" s="7"/>
      <c r="AD44" s="45"/>
      <c r="AE44" s="11"/>
      <c r="AF44" s="11"/>
      <c r="AG44" s="10"/>
      <c r="AH44" s="11"/>
      <c r="AI44" s="10"/>
    </row>
    <row r="45" spans="1:35" x14ac:dyDescent="0.2">
      <c r="A45" s="10" t="s">
        <v>73</v>
      </c>
      <c r="B45" s="10"/>
      <c r="C45" s="7"/>
      <c r="D45" s="7"/>
      <c r="E45" s="7"/>
      <c r="F45" s="7"/>
      <c r="G45" s="7"/>
      <c r="H45" s="7"/>
      <c r="I45" s="7"/>
      <c r="J45" s="7"/>
      <c r="K45" s="7"/>
      <c r="L45" s="7"/>
      <c r="M45" s="7"/>
      <c r="O45" s="45"/>
      <c r="P45" s="11"/>
      <c r="Q45" s="10"/>
      <c r="R45" s="7"/>
      <c r="S45" s="7"/>
      <c r="T45" s="7"/>
      <c r="U45" s="7"/>
      <c r="V45" s="7"/>
      <c r="W45" s="7"/>
      <c r="X45" s="7"/>
      <c r="Y45" s="7"/>
      <c r="Z45" s="7"/>
      <c r="AA45" s="7"/>
      <c r="AB45" s="7"/>
      <c r="AD45" s="45"/>
      <c r="AE45" s="11"/>
      <c r="AF45" s="11"/>
      <c r="AG45" s="10"/>
      <c r="AH45" s="11"/>
      <c r="AI45" s="10"/>
    </row>
    <row r="46" spans="1:35" x14ac:dyDescent="0.2">
      <c r="A46" s="10" t="s">
        <v>69</v>
      </c>
      <c r="B46" s="10"/>
      <c r="C46" s="7"/>
      <c r="D46" s="7"/>
      <c r="E46" s="7"/>
      <c r="F46" s="7"/>
      <c r="G46" s="7"/>
      <c r="H46" s="7"/>
      <c r="I46" s="7"/>
      <c r="J46" s="7"/>
      <c r="K46" s="7"/>
      <c r="L46" s="7"/>
      <c r="M46" s="7"/>
      <c r="O46" s="45"/>
      <c r="P46" s="11"/>
      <c r="Q46" s="10"/>
      <c r="R46" s="7"/>
      <c r="S46" s="7"/>
      <c r="T46" s="7"/>
      <c r="U46" s="7"/>
      <c r="V46" s="7"/>
      <c r="W46" s="7"/>
      <c r="X46" s="7"/>
      <c r="Y46" s="7"/>
      <c r="Z46" s="7"/>
      <c r="AA46" s="7"/>
      <c r="AB46" s="7"/>
      <c r="AD46" s="45"/>
      <c r="AE46" s="11"/>
      <c r="AF46" s="11"/>
      <c r="AG46" s="10"/>
      <c r="AH46" s="11"/>
      <c r="AI46" s="10"/>
    </row>
    <row r="47" spans="1:35" x14ac:dyDescent="0.2">
      <c r="A47" s="10" t="s">
        <v>69</v>
      </c>
      <c r="B47" s="10"/>
      <c r="C47" s="7"/>
      <c r="D47" s="7"/>
      <c r="E47" s="7"/>
      <c r="F47" s="7"/>
      <c r="G47" s="7"/>
      <c r="H47" s="7"/>
      <c r="I47" s="7"/>
      <c r="J47" s="7"/>
      <c r="K47" s="7"/>
      <c r="L47" s="7"/>
      <c r="M47" s="7"/>
      <c r="O47" s="45"/>
      <c r="P47" s="11"/>
      <c r="Q47" s="10"/>
      <c r="R47" s="7"/>
      <c r="S47" s="7"/>
      <c r="T47" s="7"/>
      <c r="U47" s="7"/>
      <c r="V47" s="7"/>
      <c r="W47" s="7"/>
      <c r="X47" s="7"/>
      <c r="Y47" s="7"/>
      <c r="Z47" s="7"/>
      <c r="AA47" s="7"/>
      <c r="AB47" s="7"/>
      <c r="AD47" s="45"/>
      <c r="AE47" s="11"/>
      <c r="AF47" s="11"/>
      <c r="AG47" s="10"/>
      <c r="AH47" s="11"/>
      <c r="AI47" s="10"/>
    </row>
    <row r="48" spans="1:35" x14ac:dyDescent="0.2">
      <c r="A48" s="10" t="s">
        <v>74</v>
      </c>
      <c r="B48" s="10"/>
      <c r="C48" s="7"/>
      <c r="D48" s="7"/>
      <c r="E48" s="7"/>
      <c r="F48" s="7"/>
      <c r="G48" s="7"/>
      <c r="H48" s="7"/>
      <c r="I48" s="7"/>
      <c r="J48" s="7"/>
      <c r="K48" s="7"/>
      <c r="L48" s="7"/>
      <c r="M48" s="7"/>
      <c r="O48" s="45"/>
      <c r="P48" s="11"/>
      <c r="Q48" s="10"/>
      <c r="R48" s="7"/>
      <c r="S48" s="7"/>
      <c r="T48" s="7"/>
      <c r="U48" s="7"/>
      <c r="V48" s="7"/>
      <c r="W48" s="7"/>
      <c r="X48" s="7"/>
      <c r="Y48" s="7"/>
      <c r="Z48" s="7"/>
      <c r="AA48" s="7"/>
      <c r="AB48" s="7"/>
      <c r="AD48" s="45"/>
      <c r="AE48" s="11"/>
      <c r="AF48" s="11"/>
      <c r="AG48" s="10"/>
      <c r="AH48" s="11"/>
      <c r="AI48" s="10"/>
    </row>
    <row r="49" spans="1:35" x14ac:dyDescent="0.2">
      <c r="A49" s="10" t="s">
        <v>69</v>
      </c>
      <c r="B49" s="10"/>
      <c r="C49" s="7"/>
      <c r="D49" s="7"/>
      <c r="E49" s="7"/>
      <c r="F49" s="7"/>
      <c r="G49" s="7"/>
      <c r="H49" s="7"/>
      <c r="I49" s="7"/>
      <c r="J49" s="7"/>
      <c r="K49" s="7"/>
      <c r="L49" s="7"/>
      <c r="M49" s="7"/>
      <c r="O49" s="45"/>
      <c r="P49" s="11"/>
      <c r="Q49" s="10"/>
      <c r="R49" s="7"/>
      <c r="S49" s="7"/>
      <c r="T49" s="7"/>
      <c r="U49" s="7"/>
      <c r="V49" s="7"/>
      <c r="W49" s="7"/>
      <c r="X49" s="7"/>
      <c r="Y49" s="7"/>
      <c r="Z49" s="7"/>
      <c r="AA49" s="7"/>
      <c r="AB49" s="7"/>
      <c r="AD49" s="45"/>
      <c r="AE49" s="11"/>
      <c r="AF49" s="11"/>
      <c r="AG49" s="10"/>
      <c r="AH49" s="11"/>
      <c r="AI49" s="10"/>
    </row>
    <row r="50" spans="1:35" x14ac:dyDescent="0.2">
      <c r="A50" s="10" t="s">
        <v>69</v>
      </c>
      <c r="B50" s="10"/>
      <c r="C50" s="7"/>
      <c r="D50" s="7"/>
      <c r="E50" s="7"/>
      <c r="F50" s="7"/>
      <c r="G50" s="7"/>
      <c r="H50" s="7"/>
      <c r="I50" s="7"/>
      <c r="J50" s="7"/>
      <c r="K50" s="7"/>
      <c r="L50" s="7"/>
      <c r="M50" s="7"/>
      <c r="O50" s="45"/>
      <c r="P50" s="11"/>
      <c r="Q50" s="10"/>
      <c r="R50" s="7"/>
      <c r="S50" s="7"/>
      <c r="T50" s="7"/>
      <c r="U50" s="7"/>
      <c r="V50" s="7"/>
      <c r="W50" s="7"/>
      <c r="X50" s="7"/>
      <c r="Y50" s="7"/>
      <c r="Z50" s="7"/>
      <c r="AA50" s="7"/>
      <c r="AB50" s="7"/>
      <c r="AD50" s="45"/>
      <c r="AE50" s="11"/>
      <c r="AF50" s="11"/>
      <c r="AG50" s="10"/>
      <c r="AH50" s="11"/>
      <c r="AI50" s="10"/>
    </row>
    <row r="51" spans="1:35" x14ac:dyDescent="0.2">
      <c r="A51" s="10" t="s">
        <v>75</v>
      </c>
      <c r="B51" s="10"/>
      <c r="C51" s="7"/>
      <c r="D51" s="7"/>
      <c r="E51" s="7"/>
      <c r="F51" s="7"/>
      <c r="G51" s="7"/>
      <c r="H51" s="7"/>
      <c r="I51" s="7"/>
      <c r="J51" s="7"/>
      <c r="K51" s="7"/>
      <c r="L51" s="7"/>
      <c r="M51" s="7"/>
      <c r="O51" s="45"/>
      <c r="P51" s="11"/>
      <c r="Q51" s="10"/>
      <c r="R51" s="7"/>
      <c r="S51" s="7"/>
      <c r="T51" s="7"/>
      <c r="U51" s="7"/>
      <c r="V51" s="7"/>
      <c r="W51" s="7"/>
      <c r="X51" s="7"/>
      <c r="Y51" s="7"/>
      <c r="Z51" s="7"/>
      <c r="AA51" s="7"/>
      <c r="AB51" s="7"/>
      <c r="AD51" s="45"/>
      <c r="AE51" s="11"/>
      <c r="AF51" s="11"/>
      <c r="AG51" s="10"/>
      <c r="AH51" s="11"/>
      <c r="AI51" s="10"/>
    </row>
    <row r="52" spans="1:35" x14ac:dyDescent="0.2">
      <c r="A52" s="10" t="s">
        <v>69</v>
      </c>
      <c r="B52" s="10"/>
      <c r="C52" s="7"/>
      <c r="D52" s="7"/>
      <c r="E52" s="7"/>
      <c r="F52" s="7"/>
      <c r="G52" s="7"/>
      <c r="H52" s="7"/>
      <c r="I52" s="7"/>
      <c r="J52" s="7"/>
      <c r="K52" s="7"/>
      <c r="L52" s="7"/>
      <c r="M52" s="7"/>
      <c r="O52" s="45"/>
      <c r="P52" s="11"/>
      <c r="Q52" s="10"/>
      <c r="R52" s="7"/>
      <c r="S52" s="7"/>
      <c r="T52" s="7"/>
      <c r="U52" s="7"/>
      <c r="V52" s="7"/>
      <c r="W52" s="7"/>
      <c r="X52" s="7"/>
      <c r="Y52" s="7"/>
      <c r="Z52" s="7"/>
      <c r="AA52" s="7"/>
      <c r="AB52" s="7"/>
      <c r="AD52" s="45"/>
      <c r="AE52" s="11"/>
      <c r="AF52" s="11"/>
      <c r="AG52" s="10"/>
      <c r="AH52" s="11"/>
      <c r="AI52" s="10"/>
    </row>
    <row r="53" spans="1:35" x14ac:dyDescent="0.2">
      <c r="A53" s="10" t="s">
        <v>69</v>
      </c>
      <c r="B53" s="10"/>
      <c r="C53" s="7"/>
      <c r="D53" s="7"/>
      <c r="E53" s="7"/>
      <c r="F53" s="7"/>
      <c r="G53" s="7"/>
      <c r="H53" s="7"/>
      <c r="I53" s="7"/>
      <c r="J53" s="7"/>
      <c r="K53" s="7"/>
      <c r="L53" s="7"/>
      <c r="M53" s="7"/>
      <c r="O53" s="45"/>
      <c r="P53" s="11"/>
      <c r="Q53" s="10"/>
      <c r="R53" s="7"/>
      <c r="S53" s="7"/>
      <c r="T53" s="7"/>
      <c r="U53" s="7"/>
      <c r="V53" s="7"/>
      <c r="W53" s="7"/>
      <c r="X53" s="7"/>
      <c r="Y53" s="7"/>
      <c r="Z53" s="7"/>
      <c r="AA53" s="7"/>
      <c r="AB53" s="7"/>
      <c r="AD53" s="45"/>
      <c r="AE53" s="11"/>
      <c r="AF53" s="11"/>
      <c r="AG53" s="10"/>
      <c r="AH53" s="11"/>
      <c r="AI53" s="10"/>
    </row>
    <row r="54" spans="1:35" x14ac:dyDescent="0.2">
      <c r="A54" s="10" t="s">
        <v>76</v>
      </c>
      <c r="B54" s="10"/>
      <c r="C54" s="7"/>
      <c r="D54" s="7"/>
      <c r="E54" s="7"/>
      <c r="F54" s="7"/>
      <c r="G54" s="7"/>
      <c r="H54" s="7"/>
      <c r="I54" s="7"/>
      <c r="J54" s="7"/>
      <c r="K54" s="7"/>
      <c r="L54" s="7"/>
      <c r="M54" s="7"/>
      <c r="O54" s="45"/>
      <c r="P54" s="11"/>
      <c r="Q54" s="10"/>
      <c r="R54" s="7"/>
      <c r="S54" s="7"/>
      <c r="T54" s="7"/>
      <c r="U54" s="7"/>
      <c r="V54" s="7"/>
      <c r="W54" s="7"/>
      <c r="X54" s="7"/>
      <c r="Y54" s="7"/>
      <c r="Z54" s="7"/>
      <c r="AA54" s="7"/>
      <c r="AB54" s="7"/>
      <c r="AD54" s="45"/>
      <c r="AE54" s="11"/>
      <c r="AF54" s="11"/>
      <c r="AG54" s="10"/>
      <c r="AH54" s="11"/>
      <c r="AI54" s="10"/>
    </row>
    <row r="55" spans="1:35" x14ac:dyDescent="0.2">
      <c r="A55" s="10" t="s">
        <v>69</v>
      </c>
      <c r="B55" s="10"/>
      <c r="C55" s="7"/>
      <c r="D55" s="7"/>
      <c r="E55" s="7"/>
      <c r="F55" s="7"/>
      <c r="G55" s="7"/>
      <c r="H55" s="7"/>
      <c r="I55" s="7"/>
      <c r="J55" s="7"/>
      <c r="K55" s="7"/>
      <c r="L55" s="7"/>
      <c r="M55" s="7"/>
      <c r="O55" s="45"/>
      <c r="P55" s="11"/>
      <c r="Q55" s="10"/>
      <c r="R55" s="7"/>
      <c r="S55" s="7"/>
      <c r="T55" s="7"/>
      <c r="U55" s="7"/>
      <c r="V55" s="7"/>
      <c r="W55" s="7"/>
      <c r="X55" s="7"/>
      <c r="Y55" s="7"/>
      <c r="Z55" s="7"/>
      <c r="AA55" s="7"/>
      <c r="AB55" s="7"/>
      <c r="AD55" s="45"/>
      <c r="AE55" s="11"/>
      <c r="AF55" s="11"/>
      <c r="AG55" s="10"/>
      <c r="AH55" s="11"/>
      <c r="AI55" s="10"/>
    </row>
    <row r="56" spans="1:35" x14ac:dyDescent="0.2">
      <c r="A56" s="10" t="s">
        <v>69</v>
      </c>
      <c r="B56" s="10"/>
      <c r="C56" s="7"/>
      <c r="D56" s="7"/>
      <c r="E56" s="7"/>
      <c r="F56" s="7"/>
      <c r="G56" s="7"/>
      <c r="H56" s="7"/>
      <c r="I56" s="7"/>
      <c r="J56" s="7"/>
      <c r="K56" s="7"/>
      <c r="L56" s="7"/>
      <c r="M56" s="7"/>
      <c r="O56" s="45"/>
      <c r="P56" s="11"/>
      <c r="Q56" s="10"/>
      <c r="R56" s="7"/>
      <c r="S56" s="7"/>
      <c r="T56" s="7"/>
      <c r="U56" s="7"/>
      <c r="V56" s="7"/>
      <c r="W56" s="7"/>
      <c r="X56" s="7"/>
      <c r="Y56" s="7"/>
      <c r="Z56" s="7"/>
      <c r="AA56" s="7"/>
      <c r="AB56" s="7"/>
      <c r="AD56" s="45"/>
      <c r="AE56" s="11"/>
      <c r="AF56" s="11"/>
      <c r="AG56" s="10"/>
      <c r="AH56" s="11"/>
      <c r="AI56" s="10"/>
    </row>
    <row r="57" spans="1:35" x14ac:dyDescent="0.2">
      <c r="A57" s="10" t="s">
        <v>77</v>
      </c>
      <c r="B57" s="10"/>
      <c r="C57" s="7"/>
      <c r="D57" s="7"/>
      <c r="E57" s="7"/>
      <c r="F57" s="7"/>
      <c r="G57" s="7"/>
      <c r="H57" s="7"/>
      <c r="I57" s="7"/>
      <c r="J57" s="7"/>
      <c r="K57" s="7"/>
      <c r="L57" s="7"/>
      <c r="M57" s="7"/>
      <c r="O57" s="45"/>
      <c r="P57" s="11"/>
      <c r="Q57" s="10"/>
      <c r="R57" s="7"/>
      <c r="S57" s="7"/>
      <c r="T57" s="7"/>
      <c r="U57" s="7"/>
      <c r="V57" s="7"/>
      <c r="W57" s="7"/>
      <c r="X57" s="7"/>
      <c r="Y57" s="7"/>
      <c r="Z57" s="7"/>
      <c r="AA57" s="7"/>
      <c r="AB57" s="7"/>
      <c r="AD57" s="45"/>
      <c r="AE57" s="11"/>
      <c r="AF57" s="11"/>
      <c r="AG57" s="10"/>
      <c r="AH57" s="11"/>
      <c r="AI57" s="10"/>
    </row>
    <row r="58" spans="1:35" x14ac:dyDescent="0.2">
      <c r="A58" s="10" t="s">
        <v>69</v>
      </c>
      <c r="B58" s="10"/>
      <c r="C58" s="7"/>
      <c r="D58" s="7"/>
      <c r="E58" s="7"/>
      <c r="F58" s="7"/>
      <c r="G58" s="7"/>
      <c r="H58" s="7"/>
      <c r="I58" s="7"/>
      <c r="J58" s="7"/>
      <c r="K58" s="7"/>
      <c r="L58" s="7"/>
      <c r="M58" s="7"/>
      <c r="O58" s="45"/>
      <c r="P58" s="11"/>
      <c r="Q58" s="10"/>
      <c r="R58" s="7"/>
      <c r="S58" s="7"/>
      <c r="T58" s="7"/>
      <c r="U58" s="7"/>
      <c r="V58" s="7"/>
      <c r="W58" s="7"/>
      <c r="X58" s="7"/>
      <c r="Y58" s="7"/>
      <c r="Z58" s="7"/>
      <c r="AA58" s="7"/>
      <c r="AB58" s="7"/>
      <c r="AD58" s="45"/>
      <c r="AE58" s="11"/>
      <c r="AF58" s="11"/>
      <c r="AG58" s="10"/>
      <c r="AH58" s="11"/>
      <c r="AI58" s="10"/>
    </row>
    <row r="59" spans="1:35" x14ac:dyDescent="0.2">
      <c r="A59" s="10" t="s">
        <v>69</v>
      </c>
      <c r="B59" s="10"/>
      <c r="C59" s="7"/>
      <c r="D59" s="7"/>
      <c r="E59" s="7"/>
      <c r="F59" s="7"/>
      <c r="G59" s="7"/>
      <c r="H59" s="7"/>
      <c r="I59" s="7"/>
      <c r="J59" s="7"/>
      <c r="K59" s="7"/>
      <c r="L59" s="7"/>
      <c r="M59" s="7"/>
      <c r="O59" s="45"/>
      <c r="P59" s="11"/>
      <c r="Q59" s="10"/>
      <c r="R59" s="7"/>
      <c r="S59" s="7"/>
      <c r="T59" s="7"/>
      <c r="U59" s="7"/>
      <c r="V59" s="7"/>
      <c r="W59" s="7"/>
      <c r="X59" s="7"/>
      <c r="Y59" s="7"/>
      <c r="Z59" s="7"/>
      <c r="AA59" s="7"/>
      <c r="AB59" s="7"/>
      <c r="AD59" s="45"/>
      <c r="AE59" s="11"/>
      <c r="AF59" s="11"/>
      <c r="AG59" s="10"/>
      <c r="AH59" s="11"/>
      <c r="AI59" s="10"/>
    </row>
    <row r="60" spans="1:35" x14ac:dyDescent="0.2">
      <c r="A60" s="10" t="s">
        <v>78</v>
      </c>
      <c r="B60" s="10"/>
      <c r="C60" s="7"/>
      <c r="D60" s="7"/>
      <c r="E60" s="7"/>
      <c r="F60" s="7"/>
      <c r="G60" s="7"/>
      <c r="H60" s="7"/>
      <c r="I60" s="7"/>
      <c r="J60" s="7"/>
      <c r="K60" s="7"/>
      <c r="L60" s="7"/>
      <c r="M60" s="7"/>
      <c r="O60" s="45"/>
      <c r="P60" s="11"/>
      <c r="Q60" s="10"/>
      <c r="R60" s="7"/>
      <c r="S60" s="7"/>
      <c r="T60" s="7"/>
      <c r="U60" s="7"/>
      <c r="V60" s="7"/>
      <c r="W60" s="7"/>
      <c r="X60" s="7"/>
      <c r="Y60" s="7"/>
      <c r="Z60" s="7"/>
      <c r="AA60" s="7"/>
      <c r="AB60" s="7"/>
      <c r="AD60" s="45"/>
      <c r="AE60" s="11"/>
      <c r="AF60" s="11"/>
      <c r="AG60" s="10"/>
      <c r="AH60" s="11"/>
      <c r="AI60" s="10"/>
    </row>
    <row r="61" spans="1:35" x14ac:dyDescent="0.2">
      <c r="A61" s="10" t="s">
        <v>69</v>
      </c>
      <c r="B61" s="10"/>
      <c r="C61" s="7"/>
      <c r="D61" s="7"/>
      <c r="E61" s="7"/>
      <c r="F61" s="7"/>
      <c r="G61" s="7"/>
      <c r="H61" s="7"/>
      <c r="I61" s="7"/>
      <c r="J61" s="7"/>
      <c r="K61" s="7"/>
      <c r="L61" s="7"/>
      <c r="M61" s="7"/>
      <c r="O61" s="45"/>
      <c r="P61" s="11"/>
      <c r="Q61" s="10"/>
      <c r="R61" s="7"/>
      <c r="S61" s="7"/>
      <c r="T61" s="7"/>
      <c r="U61" s="7"/>
      <c r="V61" s="7"/>
      <c r="W61" s="7"/>
      <c r="X61" s="7"/>
      <c r="Y61" s="7"/>
      <c r="Z61" s="7"/>
      <c r="AA61" s="7"/>
      <c r="AB61" s="7"/>
      <c r="AD61" s="45"/>
      <c r="AE61" s="11"/>
      <c r="AF61" s="11"/>
      <c r="AG61" s="10"/>
      <c r="AH61" s="11"/>
      <c r="AI61" s="10"/>
    </row>
    <row r="62" spans="1:35" x14ac:dyDescent="0.2">
      <c r="A62" s="10" t="s">
        <v>69</v>
      </c>
      <c r="B62" s="10"/>
      <c r="C62" s="7"/>
      <c r="D62" s="7"/>
      <c r="E62" s="7"/>
      <c r="F62" s="7"/>
      <c r="G62" s="7"/>
      <c r="H62" s="7"/>
      <c r="I62" s="7"/>
      <c r="J62" s="7"/>
      <c r="K62" s="7"/>
      <c r="L62" s="7"/>
      <c r="M62" s="7"/>
      <c r="O62" s="45"/>
      <c r="P62" s="11"/>
      <c r="Q62" s="10"/>
      <c r="R62" s="7"/>
      <c r="S62" s="7"/>
      <c r="T62" s="7"/>
      <c r="U62" s="7"/>
      <c r="V62" s="7"/>
      <c r="W62" s="7"/>
      <c r="X62" s="7"/>
      <c r="Y62" s="7"/>
      <c r="Z62" s="7"/>
      <c r="AA62" s="7"/>
      <c r="AB62" s="7"/>
      <c r="AD62" s="45"/>
      <c r="AE62" s="11"/>
      <c r="AF62" s="11"/>
      <c r="AG62" s="10"/>
      <c r="AH62" s="11"/>
      <c r="AI62" s="10"/>
    </row>
    <row r="63" spans="1:35" x14ac:dyDescent="0.2">
      <c r="A63" s="10" t="s">
        <v>24</v>
      </c>
      <c r="B63" s="10"/>
      <c r="C63" s="7"/>
      <c r="D63" s="7"/>
      <c r="E63" s="7"/>
      <c r="F63" s="7"/>
      <c r="G63" s="7"/>
      <c r="H63" s="7"/>
      <c r="I63" s="7"/>
      <c r="J63" s="7"/>
      <c r="K63" s="7"/>
      <c r="L63" s="7"/>
      <c r="M63" s="7"/>
      <c r="O63" s="45"/>
      <c r="P63" s="11"/>
      <c r="Q63" s="10"/>
      <c r="R63" s="7"/>
      <c r="S63" s="7"/>
      <c r="T63" s="7"/>
      <c r="U63" s="7"/>
      <c r="V63" s="7"/>
      <c r="W63" s="7"/>
      <c r="X63" s="7"/>
      <c r="Y63" s="7"/>
      <c r="Z63" s="7"/>
      <c r="AA63" s="7"/>
      <c r="AB63" s="7"/>
      <c r="AD63" s="45"/>
      <c r="AE63" s="11"/>
      <c r="AF63" s="11"/>
      <c r="AG63" s="10"/>
      <c r="AH63" s="11"/>
      <c r="AI63" s="10"/>
    </row>
    <row r="64" spans="1:35" x14ac:dyDescent="0.2">
      <c r="A64" s="10" t="s">
        <v>79</v>
      </c>
      <c r="B64" s="10"/>
      <c r="C64" s="7"/>
      <c r="D64" s="7"/>
      <c r="E64" s="7"/>
      <c r="F64" s="7"/>
      <c r="G64" s="7"/>
      <c r="H64" s="7"/>
      <c r="I64" s="7"/>
      <c r="J64" s="7"/>
      <c r="K64" s="7"/>
      <c r="L64" s="7"/>
      <c r="M64" s="7"/>
      <c r="O64" s="45"/>
      <c r="P64" s="11"/>
      <c r="Q64" s="10"/>
      <c r="R64" s="7"/>
      <c r="S64" s="7"/>
      <c r="T64" s="7"/>
      <c r="U64" s="7"/>
      <c r="V64" s="7"/>
      <c r="W64" s="7"/>
      <c r="X64" s="7"/>
      <c r="Y64" s="7"/>
      <c r="Z64" s="7"/>
      <c r="AA64" s="7"/>
      <c r="AB64" s="7"/>
      <c r="AD64" s="45"/>
      <c r="AE64" s="11"/>
      <c r="AF64" s="11"/>
      <c r="AG64" s="10"/>
      <c r="AH64" s="11"/>
      <c r="AI64" s="10"/>
    </row>
    <row r="65" spans="1:35" x14ac:dyDescent="0.2">
      <c r="A65" s="10" t="s">
        <v>80</v>
      </c>
      <c r="B65" s="10"/>
      <c r="C65" s="7"/>
      <c r="D65" s="7"/>
      <c r="E65" s="7"/>
      <c r="F65" s="7"/>
      <c r="G65" s="7"/>
      <c r="H65" s="7"/>
      <c r="I65" s="7"/>
      <c r="J65" s="7"/>
      <c r="K65" s="7"/>
      <c r="L65" s="7"/>
      <c r="M65" s="7"/>
      <c r="O65" s="45"/>
      <c r="P65" s="11"/>
      <c r="Q65" s="10"/>
      <c r="R65" s="7"/>
      <c r="S65" s="7"/>
      <c r="T65" s="7"/>
      <c r="U65" s="7"/>
      <c r="V65" s="7"/>
      <c r="W65" s="7"/>
      <c r="X65" s="7"/>
      <c r="Y65" s="7"/>
      <c r="Z65" s="7"/>
      <c r="AA65" s="7"/>
      <c r="AB65" s="7"/>
      <c r="AD65" s="45"/>
      <c r="AE65" s="11"/>
      <c r="AF65" s="11"/>
      <c r="AG65" s="10"/>
      <c r="AH65" s="11"/>
      <c r="AI65" s="10"/>
    </row>
    <row r="66" spans="1:35" x14ac:dyDescent="0.2">
      <c r="A66" s="10" t="s">
        <v>80</v>
      </c>
      <c r="B66" s="10"/>
      <c r="C66" s="7"/>
      <c r="D66" s="7"/>
      <c r="E66" s="7"/>
      <c r="F66" s="7"/>
      <c r="G66" s="7"/>
      <c r="H66" s="7"/>
      <c r="I66" s="7"/>
      <c r="J66" s="7"/>
      <c r="K66" s="7"/>
      <c r="L66" s="7"/>
      <c r="M66" s="7"/>
      <c r="O66" s="45"/>
      <c r="P66" s="11"/>
      <c r="Q66" s="10"/>
      <c r="R66" s="7"/>
      <c r="S66" s="7"/>
      <c r="T66" s="7"/>
      <c r="U66" s="7"/>
      <c r="V66" s="7"/>
      <c r="W66" s="7"/>
      <c r="X66" s="7"/>
      <c r="Y66" s="7"/>
      <c r="Z66" s="7"/>
      <c r="AA66" s="7"/>
      <c r="AB66" s="7"/>
      <c r="AD66" s="45"/>
      <c r="AE66" s="11"/>
      <c r="AF66" s="11"/>
      <c r="AG66" s="10"/>
      <c r="AH66" s="11"/>
      <c r="AI66" s="10"/>
    </row>
    <row r="67" spans="1:35" x14ac:dyDescent="0.2">
      <c r="A67" s="10" t="s">
        <v>81</v>
      </c>
      <c r="B67" s="10"/>
      <c r="C67" s="7"/>
      <c r="D67" s="7"/>
      <c r="E67" s="7"/>
      <c r="F67" s="7"/>
      <c r="G67" s="7"/>
      <c r="H67" s="7"/>
      <c r="I67" s="7"/>
      <c r="J67" s="7"/>
      <c r="K67" s="7"/>
      <c r="L67" s="7"/>
      <c r="M67" s="7"/>
      <c r="O67" s="45"/>
      <c r="P67" s="11"/>
      <c r="Q67" s="10"/>
      <c r="R67" s="7"/>
      <c r="S67" s="7"/>
      <c r="T67" s="7"/>
      <c r="U67" s="7"/>
      <c r="V67" s="7"/>
      <c r="W67" s="7"/>
      <c r="X67" s="7"/>
      <c r="Y67" s="7"/>
      <c r="Z67" s="7"/>
      <c r="AA67" s="7"/>
      <c r="AB67" s="7"/>
      <c r="AD67" s="45"/>
      <c r="AE67" s="11"/>
      <c r="AF67" s="11"/>
      <c r="AG67" s="10"/>
      <c r="AH67" s="11"/>
      <c r="AI67" s="10"/>
    </row>
    <row r="68" spans="1:35" x14ac:dyDescent="0.2">
      <c r="A68" s="10" t="s">
        <v>80</v>
      </c>
      <c r="B68" s="10"/>
      <c r="C68" s="7"/>
      <c r="D68" s="7"/>
      <c r="E68" s="7"/>
      <c r="F68" s="7"/>
      <c r="G68" s="7"/>
      <c r="H68" s="7"/>
      <c r="I68" s="7"/>
      <c r="J68" s="7"/>
      <c r="K68" s="7"/>
      <c r="L68" s="7"/>
      <c r="M68" s="7"/>
      <c r="O68" s="45"/>
      <c r="P68" s="11"/>
      <c r="Q68" s="10"/>
      <c r="R68" s="7"/>
      <c r="S68" s="7"/>
      <c r="T68" s="7"/>
      <c r="U68" s="7"/>
      <c r="V68" s="7"/>
      <c r="W68" s="7"/>
      <c r="X68" s="7"/>
      <c r="Y68" s="7"/>
      <c r="Z68" s="7"/>
      <c r="AA68" s="7"/>
      <c r="AB68" s="7"/>
      <c r="AD68" s="45"/>
      <c r="AE68" s="11"/>
      <c r="AF68" s="11"/>
      <c r="AG68" s="10"/>
      <c r="AH68" s="11"/>
      <c r="AI68" s="10"/>
    </row>
    <row r="69" spans="1:35" x14ac:dyDescent="0.2">
      <c r="A69" s="10" t="s">
        <v>82</v>
      </c>
      <c r="B69" s="10"/>
      <c r="C69" s="7"/>
      <c r="D69" s="7"/>
      <c r="E69" s="7"/>
      <c r="F69" s="7"/>
      <c r="G69" s="7"/>
      <c r="H69" s="7"/>
      <c r="I69" s="7"/>
      <c r="J69" s="7"/>
      <c r="K69" s="7"/>
      <c r="L69" s="7"/>
      <c r="M69" s="7"/>
      <c r="O69" s="45"/>
      <c r="P69" s="11"/>
      <c r="Q69" s="10"/>
      <c r="R69" s="7"/>
      <c r="S69" s="7"/>
      <c r="T69" s="7"/>
      <c r="U69" s="7"/>
      <c r="V69" s="7"/>
      <c r="W69" s="7"/>
      <c r="X69" s="7"/>
      <c r="Y69" s="7"/>
      <c r="Z69" s="7"/>
      <c r="AA69" s="7"/>
      <c r="AB69" s="7"/>
      <c r="AD69" s="45"/>
      <c r="AE69" s="11"/>
      <c r="AF69" s="11"/>
      <c r="AG69" s="10"/>
      <c r="AH69" s="11"/>
      <c r="AI69" s="10"/>
    </row>
    <row r="70" spans="1:35" x14ac:dyDescent="0.2">
      <c r="A70" s="10" t="s">
        <v>80</v>
      </c>
      <c r="B70" s="10"/>
      <c r="C70" s="7"/>
      <c r="D70" s="7"/>
      <c r="E70" s="7"/>
      <c r="F70" s="7"/>
      <c r="G70" s="7"/>
      <c r="H70" s="7"/>
      <c r="I70" s="7"/>
      <c r="J70" s="7"/>
      <c r="K70" s="7"/>
      <c r="L70" s="7"/>
      <c r="M70" s="7"/>
      <c r="O70" s="45"/>
      <c r="P70" s="11"/>
      <c r="Q70" s="10"/>
      <c r="R70" s="7"/>
      <c r="S70" s="7"/>
      <c r="T70" s="7"/>
      <c r="U70" s="7"/>
      <c r="V70" s="7"/>
      <c r="W70" s="7"/>
      <c r="X70" s="7"/>
      <c r="Y70" s="7"/>
      <c r="Z70" s="7"/>
      <c r="AA70" s="7"/>
      <c r="AB70" s="7"/>
      <c r="AD70" s="45"/>
      <c r="AE70" s="11"/>
      <c r="AF70" s="11"/>
      <c r="AG70" s="10"/>
      <c r="AH70" s="11"/>
      <c r="AI70" s="10"/>
    </row>
    <row r="71" spans="1:35" x14ac:dyDescent="0.2">
      <c r="A71" s="10"/>
      <c r="B71" s="10"/>
      <c r="C71" s="7"/>
      <c r="D71" s="7"/>
      <c r="E71" s="7"/>
      <c r="F71" s="7"/>
      <c r="G71" s="7"/>
      <c r="H71" s="7"/>
      <c r="I71" s="7"/>
      <c r="J71" s="7"/>
      <c r="K71" s="7"/>
      <c r="L71" s="7"/>
      <c r="M71" s="7"/>
      <c r="O71" s="45"/>
      <c r="P71" s="11"/>
      <c r="Q71" s="10"/>
      <c r="R71" s="7"/>
      <c r="S71" s="7"/>
      <c r="T71" s="7"/>
      <c r="U71" s="7"/>
      <c r="V71" s="7"/>
      <c r="W71" s="7"/>
      <c r="X71" s="7"/>
      <c r="Y71" s="7"/>
      <c r="Z71" s="7"/>
      <c r="AA71" s="7"/>
      <c r="AB71" s="7"/>
      <c r="AD71" s="45"/>
      <c r="AE71" s="11"/>
      <c r="AF71" s="11"/>
      <c r="AG71" s="10"/>
      <c r="AH71" s="11"/>
      <c r="AI71" s="10"/>
    </row>
    <row r="72" spans="1:35" x14ac:dyDescent="0.2">
      <c r="A72" s="10" t="s">
        <v>83</v>
      </c>
      <c r="B72" s="10"/>
      <c r="C72" s="7"/>
      <c r="D72" s="7"/>
      <c r="E72" s="7"/>
      <c r="F72" s="7"/>
      <c r="G72" s="7"/>
      <c r="H72" s="7"/>
      <c r="I72" s="7"/>
      <c r="J72" s="7"/>
      <c r="K72" s="7"/>
      <c r="L72" s="7"/>
      <c r="M72" s="7"/>
      <c r="O72" s="45"/>
      <c r="P72" s="11"/>
      <c r="Q72" s="10"/>
      <c r="R72" s="7"/>
      <c r="S72" s="7"/>
      <c r="T72" s="7"/>
      <c r="U72" s="7"/>
      <c r="V72" s="7"/>
      <c r="W72" s="7"/>
      <c r="X72" s="7"/>
      <c r="Y72" s="7"/>
      <c r="Z72" s="7"/>
      <c r="AA72" s="7"/>
      <c r="AB72" s="7"/>
      <c r="AD72" s="45"/>
      <c r="AE72" s="11"/>
      <c r="AF72" s="11"/>
      <c r="AG72" s="10"/>
      <c r="AH72" s="11"/>
      <c r="AI72" s="10"/>
    </row>
    <row r="73" spans="1:35" x14ac:dyDescent="0.2">
      <c r="A73" s="10" t="s">
        <v>80</v>
      </c>
      <c r="B73" s="10"/>
      <c r="C73" s="7"/>
      <c r="D73" s="7"/>
      <c r="E73" s="7"/>
      <c r="F73" s="7"/>
      <c r="G73" s="7"/>
      <c r="H73" s="7"/>
      <c r="I73" s="7"/>
      <c r="J73" s="7"/>
      <c r="K73" s="7"/>
      <c r="L73" s="7"/>
      <c r="M73" s="7"/>
      <c r="O73" s="45"/>
      <c r="P73" s="11"/>
      <c r="Q73" s="10"/>
      <c r="R73" s="7"/>
      <c r="S73" s="7"/>
      <c r="T73" s="7"/>
      <c r="U73" s="7"/>
      <c r="V73" s="7"/>
      <c r="W73" s="7"/>
      <c r="X73" s="7"/>
      <c r="Y73" s="7"/>
      <c r="Z73" s="7"/>
      <c r="AA73" s="7"/>
      <c r="AB73" s="7"/>
      <c r="AD73" s="45"/>
      <c r="AE73" s="11"/>
      <c r="AF73" s="11"/>
      <c r="AG73" s="10"/>
      <c r="AH73" s="11"/>
      <c r="AI73" s="10"/>
    </row>
    <row r="74" spans="1:35" x14ac:dyDescent="0.2">
      <c r="A74" s="10"/>
      <c r="B74" s="10"/>
      <c r="C74" s="7"/>
      <c r="D74" s="7"/>
      <c r="E74" s="7"/>
      <c r="F74" s="7"/>
      <c r="G74" s="7"/>
      <c r="H74" s="7"/>
      <c r="I74" s="7"/>
      <c r="J74" s="7"/>
      <c r="K74" s="7"/>
      <c r="L74" s="7"/>
      <c r="M74" s="7"/>
      <c r="O74" s="45"/>
      <c r="P74" s="11"/>
      <c r="Q74" s="10"/>
      <c r="R74" s="7"/>
      <c r="S74" s="7"/>
      <c r="T74" s="7"/>
      <c r="U74" s="7"/>
      <c r="V74" s="7"/>
      <c r="W74" s="7"/>
      <c r="X74" s="7"/>
      <c r="Y74" s="7"/>
      <c r="Z74" s="7"/>
      <c r="AA74" s="7"/>
      <c r="AB74" s="7"/>
      <c r="AD74" s="45"/>
      <c r="AE74" s="11"/>
      <c r="AF74" s="11"/>
      <c r="AG74" s="10"/>
      <c r="AH74" s="11"/>
      <c r="AI74" s="10"/>
    </row>
    <row r="75" spans="1:35" ht="12.75" thickBot="1" x14ac:dyDescent="0.25">
      <c r="A75" s="42"/>
      <c r="B75" s="86"/>
      <c r="C75" s="9"/>
      <c r="D75" s="9"/>
      <c r="E75" s="9"/>
      <c r="F75" s="9"/>
      <c r="G75" s="9"/>
      <c r="H75" s="9"/>
      <c r="I75" s="9"/>
      <c r="J75" s="9"/>
      <c r="K75" s="9"/>
      <c r="L75" s="9"/>
      <c r="M75" s="9"/>
      <c r="N75" s="8"/>
      <c r="O75" s="46"/>
      <c r="P75" s="47"/>
      <c r="Q75" s="86"/>
      <c r="R75" s="9"/>
      <c r="S75" s="9"/>
      <c r="T75" s="9"/>
      <c r="U75" s="9"/>
      <c r="V75" s="9"/>
      <c r="W75" s="9"/>
      <c r="X75" s="9"/>
      <c r="Y75" s="9"/>
      <c r="Z75" s="9"/>
      <c r="AA75" s="9"/>
      <c r="AB75" s="9"/>
      <c r="AC75" s="8"/>
      <c r="AD75" s="46"/>
      <c r="AE75" s="47"/>
      <c r="AF75" s="47"/>
      <c r="AG75" s="86"/>
      <c r="AH75" s="47"/>
      <c r="AI75" s="86"/>
    </row>
    <row r="76" spans="1:35" ht="12.75" thickBot="1" x14ac:dyDescent="0.25">
      <c r="A76" s="71" t="s">
        <v>0</v>
      </c>
      <c r="B76" s="87">
        <f>SUM(B10:B75)</f>
        <v>176</v>
      </c>
      <c r="C76" s="87">
        <f t="shared" ref="C76:P76" si="36">SUM(C10:C75)</f>
        <v>34975.551173579115</v>
      </c>
      <c r="D76" s="87">
        <f t="shared" si="36"/>
        <v>23970.775745007679</v>
      </c>
      <c r="E76" s="87">
        <f t="shared" si="36"/>
        <v>0</v>
      </c>
      <c r="F76" s="87">
        <f t="shared" si="36"/>
        <v>0</v>
      </c>
      <c r="G76" s="87">
        <f t="shared" si="36"/>
        <v>0</v>
      </c>
      <c r="H76" s="87">
        <f t="shared" si="36"/>
        <v>0</v>
      </c>
      <c r="I76" s="87">
        <f t="shared" si="36"/>
        <v>0</v>
      </c>
      <c r="J76" s="87">
        <f t="shared" si="36"/>
        <v>0</v>
      </c>
      <c r="K76" s="87">
        <f t="shared" si="36"/>
        <v>58946.326918586798</v>
      </c>
      <c r="L76" s="87">
        <f t="shared" si="36"/>
        <v>20000</v>
      </c>
      <c r="M76" s="87">
        <f t="shared" si="36"/>
        <v>0</v>
      </c>
      <c r="N76" s="87">
        <f t="shared" si="36"/>
        <v>20000</v>
      </c>
      <c r="O76" s="87">
        <f t="shared" si="36"/>
        <v>727355.92302304134</v>
      </c>
      <c r="P76" s="87">
        <f t="shared" si="36"/>
        <v>727531.92302304134</v>
      </c>
      <c r="Q76" s="87">
        <f>SUM(Q10:Q75)</f>
        <v>176</v>
      </c>
      <c r="R76" s="87">
        <f t="shared" ref="R76:AE76" si="37">SUM(R10:R75)</f>
        <v>34975.551173579115</v>
      </c>
      <c r="S76" s="87">
        <f t="shared" si="37"/>
        <v>23970.775745007679</v>
      </c>
      <c r="T76" s="87">
        <f t="shared" si="37"/>
        <v>0</v>
      </c>
      <c r="U76" s="87">
        <f t="shared" si="37"/>
        <v>0</v>
      </c>
      <c r="V76" s="87">
        <f t="shared" si="37"/>
        <v>0</v>
      </c>
      <c r="W76" s="87">
        <f t="shared" si="37"/>
        <v>0</v>
      </c>
      <c r="X76" s="87">
        <f t="shared" si="37"/>
        <v>0</v>
      </c>
      <c r="Y76" s="87">
        <f t="shared" si="37"/>
        <v>0</v>
      </c>
      <c r="Z76" s="87">
        <f t="shared" si="37"/>
        <v>58946.326918586798</v>
      </c>
      <c r="AA76" s="87">
        <f t="shared" si="37"/>
        <v>20000</v>
      </c>
      <c r="AB76" s="87">
        <f t="shared" si="37"/>
        <v>0</v>
      </c>
      <c r="AC76" s="87">
        <f t="shared" si="37"/>
        <v>20000</v>
      </c>
      <c r="AD76" s="87">
        <f t="shared" si="37"/>
        <v>727355.92302304134</v>
      </c>
      <c r="AE76" s="87">
        <f t="shared" si="37"/>
        <v>727531.92302304134</v>
      </c>
      <c r="AF76" s="4"/>
      <c r="AG76" s="42"/>
      <c r="AH76" s="4"/>
      <c r="AI76" s="42"/>
    </row>
    <row r="77" spans="1:35" x14ac:dyDescent="0.2">
      <c r="A77" s="3" t="s">
        <v>84</v>
      </c>
    </row>
    <row r="78" spans="1:35" x14ac:dyDescent="0.2">
      <c r="A78" s="3" t="s">
        <v>85</v>
      </c>
      <c r="B78" s="3" t="s">
        <v>180</v>
      </c>
    </row>
    <row r="79" spans="1:35" x14ac:dyDescent="0.2">
      <c r="A79" s="3" t="s">
        <v>86</v>
      </c>
      <c r="B79" s="3" t="s">
        <v>87</v>
      </c>
    </row>
    <row r="80" spans="1:35" x14ac:dyDescent="0.2">
      <c r="A80" s="3" t="s">
        <v>88</v>
      </c>
      <c r="B80" s="3" t="s">
        <v>89</v>
      </c>
    </row>
    <row r="81" spans="1:2" x14ac:dyDescent="0.2">
      <c r="A81" s="3" t="s">
        <v>90</v>
      </c>
      <c r="B81" s="3" t="s">
        <v>91</v>
      </c>
    </row>
    <row r="82" spans="1:2" x14ac:dyDescent="0.2">
      <c r="B82" s="3" t="s">
        <v>92</v>
      </c>
    </row>
    <row r="83" spans="1:2" x14ac:dyDescent="0.2">
      <c r="A83" s="3" t="s">
        <v>93</v>
      </c>
      <c r="B83" s="3" t="s">
        <v>171</v>
      </c>
    </row>
    <row r="84" spans="1:2" x14ac:dyDescent="0.2">
      <c r="B84" s="3" t="s">
        <v>94</v>
      </c>
    </row>
    <row r="85" spans="1:2" x14ac:dyDescent="0.2">
      <c r="B85" s="3" t="s">
        <v>95</v>
      </c>
    </row>
    <row r="86" spans="1:2" x14ac:dyDescent="0.2">
      <c r="B86" s="3" t="s">
        <v>96</v>
      </c>
    </row>
    <row r="87" spans="1:2" x14ac:dyDescent="0.2">
      <c r="A87" s="3" t="s">
        <v>206</v>
      </c>
      <c r="B87" s="3" t="s">
        <v>207</v>
      </c>
    </row>
    <row r="88" spans="1:2" x14ac:dyDescent="0.2">
      <c r="A88" s="3" t="s">
        <v>208</v>
      </c>
      <c r="B88" s="3" t="s">
        <v>176</v>
      </c>
    </row>
    <row r="89" spans="1:2" x14ac:dyDescent="0.2">
      <c r="A89" s="3" t="s">
        <v>209</v>
      </c>
      <c r="B89" s="3" t="s">
        <v>172</v>
      </c>
    </row>
    <row r="90" spans="1:2" x14ac:dyDescent="0.2">
      <c r="B90" s="3" t="s">
        <v>94</v>
      </c>
    </row>
    <row r="91" spans="1:2" x14ac:dyDescent="0.2">
      <c r="B91" s="3" t="s">
        <v>95</v>
      </c>
    </row>
    <row r="92" spans="1:2" x14ac:dyDescent="0.2">
      <c r="B92" s="3" t="s">
        <v>137</v>
      </c>
    </row>
    <row r="93" spans="1:2" x14ac:dyDescent="0.2">
      <c r="A93" s="3" t="s">
        <v>218</v>
      </c>
      <c r="B93" s="3" t="s">
        <v>219</v>
      </c>
    </row>
    <row r="94" spans="1:2" x14ac:dyDescent="0.2">
      <c r="A94" s="3" t="s">
        <v>216</v>
      </c>
      <c r="B94" s="3" t="s">
        <v>212</v>
      </c>
    </row>
    <row r="95" spans="1:2" x14ac:dyDescent="0.2">
      <c r="A95" s="3" t="s">
        <v>217</v>
      </c>
      <c r="B95" s="3" t="s">
        <v>220</v>
      </c>
    </row>
  </sheetData>
  <mergeCells count="5">
    <mergeCell ref="AH4:AI4"/>
    <mergeCell ref="A4:A6"/>
    <mergeCell ref="B4:P4"/>
    <mergeCell ref="Q4:AE4"/>
    <mergeCell ref="AF4:AG4"/>
  </mergeCells>
  <phoneticPr fontId="11" type="noConversion"/>
  <printOptions horizontalCentered="1"/>
  <pageMargins left="0.25" right="0.25" top="0.75" bottom="0.75" header="0.3" footer="0.3"/>
  <pageSetup paperSize="9" scale="37" orientation="landscape" r:id="rId1"/>
  <headerFooter alignWithMargins="0">
    <oddHeader xml:space="preserve">&amp;C&amp;"Arial,Negrita"&amp;18PROYECTO DE PRESUPUESTO 2021
</oddHeader>
    <oddFooter>&amp;L&amp;"Arial,Negrita"&amp;8PROYECTO DE PRESUPUESTO PARA EL AÑO FISCAL 2020
INFORMACIÓN PARA LA COMISIÓN DE PRESUPUESTO Y CUENTA GENERAL DE LA REPÚBLICA DEL CONGRESO DE LA REPÚBLICA</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9">
    <tabColor theme="9" tint="-0.249977111117893"/>
    <pageSetUpPr fitToPage="1"/>
  </sheetPr>
  <dimension ref="A1:V42"/>
  <sheetViews>
    <sheetView tabSelected="1" view="pageLayout" topLeftCell="A4" zoomScaleNormal="100" zoomScaleSheetLayoutView="80" workbookViewId="0">
      <selection activeCell="C16" sqref="C16"/>
    </sheetView>
  </sheetViews>
  <sheetFormatPr baseColWidth="10" defaultColWidth="11.42578125" defaultRowHeight="12" x14ac:dyDescent="0.2"/>
  <cols>
    <col min="1" max="1" width="57.140625" style="223" customWidth="1"/>
    <col min="2" max="2" width="9.85546875" style="223" customWidth="1"/>
    <col min="3" max="5" width="12.7109375" style="223" customWidth="1"/>
    <col min="6" max="6" width="13.140625" style="223" customWidth="1"/>
    <col min="7" max="7" width="12.7109375" style="223" customWidth="1"/>
    <col min="8" max="8" width="14.28515625" style="223" customWidth="1"/>
    <col min="9" max="9" width="12.7109375" style="223" customWidth="1"/>
    <col min="10" max="10" width="15" style="223" customWidth="1"/>
    <col min="11" max="11" width="12.7109375" style="223" customWidth="1"/>
    <col min="12" max="16384" width="11.42578125" style="223"/>
  </cols>
  <sheetData>
    <row r="1" spans="1:22" s="238" customFormat="1" x14ac:dyDescent="0.2">
      <c r="A1" s="2" t="s">
        <v>454</v>
      </c>
      <c r="B1" s="2"/>
      <c r="C1" s="2"/>
      <c r="D1" s="2"/>
      <c r="E1" s="2"/>
      <c r="F1" s="2"/>
      <c r="G1" s="2"/>
      <c r="H1" s="2"/>
      <c r="I1" s="2"/>
      <c r="J1" s="2"/>
    </row>
    <row r="2" spans="1:22" x14ac:dyDescent="0.2">
      <c r="A2" s="2" t="s">
        <v>373</v>
      </c>
      <c r="B2" s="2"/>
      <c r="C2" s="2"/>
      <c r="D2" s="2"/>
      <c r="E2" s="2"/>
      <c r="F2" s="2"/>
      <c r="G2" s="2"/>
      <c r="H2" s="2"/>
      <c r="I2" s="2"/>
      <c r="J2" s="2"/>
      <c r="K2" s="2"/>
      <c r="L2" s="2"/>
      <c r="M2" s="2"/>
      <c r="N2" s="2"/>
      <c r="O2" s="2"/>
      <c r="P2" s="2"/>
      <c r="Q2" s="2"/>
      <c r="R2" s="2"/>
      <c r="S2" s="2"/>
      <c r="T2" s="2"/>
      <c r="U2" s="2"/>
      <c r="V2" s="2"/>
    </row>
    <row r="3" spans="1:22" ht="12.75" thickBot="1" x14ac:dyDescent="0.25">
      <c r="C3" s="6"/>
      <c r="F3" s="6"/>
    </row>
    <row r="4" spans="1:22" ht="12" customHeight="1" thickBot="1" x14ac:dyDescent="0.25">
      <c r="A4" s="634" t="s">
        <v>35</v>
      </c>
      <c r="B4" s="278"/>
      <c r="C4" s="636" t="s">
        <v>384</v>
      </c>
      <c r="D4" s="632" t="s">
        <v>455</v>
      </c>
      <c r="E4" s="637" t="s">
        <v>456</v>
      </c>
      <c r="F4" s="630" t="s">
        <v>457</v>
      </c>
      <c r="G4" s="639" t="s">
        <v>458</v>
      </c>
      <c r="H4" s="628" t="s">
        <v>385</v>
      </c>
      <c r="I4" s="630" t="s">
        <v>386</v>
      </c>
      <c r="J4" s="628" t="s">
        <v>460</v>
      </c>
      <c r="K4" s="632" t="s">
        <v>459</v>
      </c>
    </row>
    <row r="5" spans="1:22" ht="31.5" customHeight="1" thickBot="1" x14ac:dyDescent="0.25">
      <c r="A5" s="635"/>
      <c r="B5" s="279"/>
      <c r="C5" s="635"/>
      <c r="D5" s="633"/>
      <c r="E5" s="638"/>
      <c r="F5" s="631"/>
      <c r="G5" s="640"/>
      <c r="H5" s="629"/>
      <c r="I5" s="631"/>
      <c r="J5" s="629"/>
      <c r="K5" s="633"/>
    </row>
    <row r="6" spans="1:22" ht="12.75" x14ac:dyDescent="0.2">
      <c r="A6" s="40" t="s">
        <v>38</v>
      </c>
      <c r="B6" s="1" t="s">
        <v>813</v>
      </c>
      <c r="C6" s="2">
        <v>7884161</v>
      </c>
      <c r="D6" s="460">
        <v>10113782</v>
      </c>
      <c r="E6" s="461">
        <v>11415179</v>
      </c>
      <c r="F6" s="461">
        <v>11519962</v>
      </c>
      <c r="G6" s="462">
        <v>1</v>
      </c>
      <c r="H6" s="463">
        <f>+C6-E6</f>
        <v>-3531018</v>
      </c>
      <c r="I6" s="464">
        <f>+C6/E6*100%</f>
        <v>0.69067344454256918</v>
      </c>
      <c r="J6" s="465">
        <f>+E6-G6</f>
        <v>11415178</v>
      </c>
      <c r="K6" s="466">
        <f>+E6/G6*100%</f>
        <v>11415179</v>
      </c>
    </row>
    <row r="7" spans="1:22" ht="12.75" x14ac:dyDescent="0.2">
      <c r="A7" s="40" t="s">
        <v>296</v>
      </c>
      <c r="B7" s="1" t="s">
        <v>814</v>
      </c>
      <c r="C7" s="2">
        <v>723466</v>
      </c>
      <c r="D7" s="460">
        <v>970732</v>
      </c>
      <c r="E7" s="461">
        <v>384399</v>
      </c>
      <c r="F7" s="461">
        <v>516410</v>
      </c>
      <c r="G7" s="462">
        <v>1</v>
      </c>
      <c r="H7" s="463">
        <f t="shared" ref="H7:H35" si="0">+C7-E7</f>
        <v>339067</v>
      </c>
      <c r="I7" s="464">
        <f t="shared" ref="I7:I35" si="1">+C7/E7*100%</f>
        <v>1.882070452836766</v>
      </c>
      <c r="J7" s="465">
        <f t="shared" ref="J7:J35" si="2">+E7-G7</f>
        <v>384398</v>
      </c>
      <c r="K7" s="466">
        <f t="shared" ref="K7:K35" si="3">+E7/G7*100%</f>
        <v>384399</v>
      </c>
    </row>
    <row r="8" spans="1:22" ht="12.75" x14ac:dyDescent="0.2">
      <c r="A8" s="40" t="s">
        <v>37</v>
      </c>
      <c r="B8" s="1"/>
      <c r="C8" s="2"/>
      <c r="D8" s="460"/>
      <c r="E8" s="461"/>
      <c r="F8" s="2"/>
      <c r="G8" s="462"/>
      <c r="H8" s="463"/>
      <c r="I8" s="464"/>
      <c r="J8" s="465"/>
      <c r="K8" s="466"/>
    </row>
    <row r="9" spans="1:22" x14ac:dyDescent="0.2">
      <c r="A9" s="40" t="s">
        <v>31</v>
      </c>
      <c r="B9" s="1"/>
      <c r="C9" s="2"/>
      <c r="D9" s="460"/>
      <c r="E9" s="2"/>
      <c r="F9" s="2"/>
      <c r="G9" s="462"/>
      <c r="H9" s="463"/>
      <c r="I9" s="464"/>
      <c r="J9" s="465"/>
      <c r="K9" s="466"/>
    </row>
    <row r="10" spans="1:22" x14ac:dyDescent="0.2">
      <c r="A10" s="40" t="s">
        <v>28</v>
      </c>
      <c r="B10" s="1"/>
      <c r="C10" s="2"/>
      <c r="D10" s="460"/>
      <c r="E10" s="2"/>
      <c r="F10" s="2"/>
      <c r="G10" s="462"/>
      <c r="H10" s="463"/>
      <c r="I10" s="464"/>
      <c r="J10" s="465"/>
      <c r="K10" s="466"/>
    </row>
    <row r="11" spans="1:22" x14ac:dyDescent="0.2">
      <c r="A11" s="40" t="s">
        <v>293</v>
      </c>
      <c r="B11" s="1" t="s">
        <v>815</v>
      </c>
      <c r="C11" s="2">
        <v>2484310</v>
      </c>
      <c r="D11" s="460">
        <v>1136341</v>
      </c>
      <c r="E11" s="2">
        <v>1181035</v>
      </c>
      <c r="F11" s="2">
        <v>1147234</v>
      </c>
      <c r="G11" s="462">
        <v>1</v>
      </c>
      <c r="H11" s="463">
        <f t="shared" si="0"/>
        <v>1303275</v>
      </c>
      <c r="I11" s="464">
        <f t="shared" si="1"/>
        <v>2.1035024364222905</v>
      </c>
      <c r="J11" s="465">
        <f t="shared" si="2"/>
        <v>1181034</v>
      </c>
      <c r="K11" s="466">
        <f>+E11/G11*100%</f>
        <v>1181035</v>
      </c>
    </row>
    <row r="12" spans="1:22" x14ac:dyDescent="0.2">
      <c r="A12" s="40" t="s">
        <v>306</v>
      </c>
      <c r="B12" s="1" t="s">
        <v>816</v>
      </c>
      <c r="C12" s="2">
        <v>763580</v>
      </c>
      <c r="D12" s="460">
        <v>698069</v>
      </c>
      <c r="E12" s="2">
        <v>311795</v>
      </c>
      <c r="F12" s="2">
        <v>363328</v>
      </c>
      <c r="G12" s="462">
        <v>1</v>
      </c>
      <c r="H12" s="463">
        <f t="shared" si="0"/>
        <v>451785</v>
      </c>
      <c r="I12" s="464">
        <f t="shared" si="1"/>
        <v>2.4489809009124586</v>
      </c>
      <c r="J12" s="465">
        <f t="shared" si="2"/>
        <v>311794</v>
      </c>
      <c r="K12" s="466">
        <f t="shared" si="3"/>
        <v>311795</v>
      </c>
    </row>
    <row r="13" spans="1:22" x14ac:dyDescent="0.2">
      <c r="A13" s="40" t="s">
        <v>33</v>
      </c>
      <c r="B13" s="1"/>
      <c r="C13" s="2"/>
      <c r="D13" s="460"/>
      <c r="E13" s="2"/>
      <c r="F13" s="2"/>
      <c r="G13" s="462"/>
      <c r="H13" s="463"/>
      <c r="I13" s="464"/>
      <c r="J13" s="465"/>
      <c r="K13" s="466"/>
    </row>
    <row r="14" spans="1:22" x14ac:dyDescent="0.2">
      <c r="A14" s="40" t="s">
        <v>302</v>
      </c>
      <c r="B14" s="1" t="s">
        <v>817</v>
      </c>
      <c r="C14" s="2">
        <v>15882712</v>
      </c>
      <c r="D14" s="2">
        <v>19471926</v>
      </c>
      <c r="E14" s="2">
        <v>21506805</v>
      </c>
      <c r="F14" s="2">
        <v>26383142</v>
      </c>
      <c r="G14" s="462">
        <v>1</v>
      </c>
      <c r="H14" s="463">
        <f t="shared" si="0"/>
        <v>-5624093</v>
      </c>
      <c r="I14" s="464">
        <f t="shared" si="1"/>
        <v>0.73849704779487235</v>
      </c>
      <c r="J14" s="465">
        <f t="shared" si="2"/>
        <v>21506804</v>
      </c>
      <c r="K14" s="466">
        <f t="shared" si="3"/>
        <v>21506805</v>
      </c>
    </row>
    <row r="15" spans="1:22" x14ac:dyDescent="0.2">
      <c r="A15" s="40" t="s">
        <v>300</v>
      </c>
      <c r="B15" s="1" t="s">
        <v>818</v>
      </c>
      <c r="C15" s="2">
        <v>34624</v>
      </c>
      <c r="D15" s="460">
        <v>117686</v>
      </c>
      <c r="E15" s="2">
        <v>97041</v>
      </c>
      <c r="F15" s="2">
        <v>44677</v>
      </c>
      <c r="G15" s="462">
        <v>1</v>
      </c>
      <c r="H15" s="463">
        <f t="shared" si="0"/>
        <v>-62417</v>
      </c>
      <c r="I15" s="464">
        <f t="shared" si="1"/>
        <v>0.35679764223369503</v>
      </c>
      <c r="J15" s="465">
        <f t="shared" si="2"/>
        <v>97040</v>
      </c>
      <c r="K15" s="466">
        <f t="shared" si="3"/>
        <v>97041</v>
      </c>
    </row>
    <row r="16" spans="1:22" x14ac:dyDescent="0.2">
      <c r="A16" s="40" t="s">
        <v>297</v>
      </c>
      <c r="B16" s="1">
        <v>23.15</v>
      </c>
      <c r="C16" s="2">
        <v>2528423</v>
      </c>
      <c r="D16" s="460">
        <v>3020753</v>
      </c>
      <c r="E16" s="2">
        <v>2536417</v>
      </c>
      <c r="F16" s="2">
        <v>2868792</v>
      </c>
      <c r="G16" s="462">
        <v>1</v>
      </c>
      <c r="H16" s="463">
        <f t="shared" si="0"/>
        <v>-7994</v>
      </c>
      <c r="I16" s="464">
        <f t="shared" si="1"/>
        <v>0.99684831003734797</v>
      </c>
      <c r="J16" s="465">
        <f t="shared" si="2"/>
        <v>2536416</v>
      </c>
      <c r="K16" s="466">
        <f t="shared" si="3"/>
        <v>2536417</v>
      </c>
    </row>
    <row r="17" spans="1:11" x14ac:dyDescent="0.2">
      <c r="A17" s="40" t="s">
        <v>304</v>
      </c>
      <c r="B17" s="1" t="s">
        <v>819</v>
      </c>
      <c r="C17" s="2">
        <v>791241</v>
      </c>
      <c r="D17" s="460">
        <v>1101680</v>
      </c>
      <c r="E17" s="2">
        <v>620673</v>
      </c>
      <c r="F17" s="2">
        <v>418375</v>
      </c>
      <c r="G17" s="462">
        <v>1</v>
      </c>
      <c r="H17" s="463">
        <f t="shared" si="0"/>
        <v>170568</v>
      </c>
      <c r="I17" s="464">
        <f t="shared" si="1"/>
        <v>1.2748113741052052</v>
      </c>
      <c r="J17" s="465">
        <f t="shared" si="2"/>
        <v>620672</v>
      </c>
      <c r="K17" s="466">
        <f t="shared" si="3"/>
        <v>620673</v>
      </c>
    </row>
    <row r="18" spans="1:11" x14ac:dyDescent="0.2">
      <c r="A18" s="40" t="s">
        <v>40</v>
      </c>
      <c r="B18" s="1"/>
      <c r="C18" s="2"/>
      <c r="D18" s="460"/>
      <c r="E18" s="2"/>
      <c r="F18" s="2"/>
      <c r="G18" s="462"/>
      <c r="H18" s="463"/>
      <c r="I18" s="464"/>
      <c r="J18" s="465"/>
      <c r="K18" s="466"/>
    </row>
    <row r="19" spans="1:11" x14ac:dyDescent="0.2">
      <c r="A19" s="40" t="s">
        <v>36</v>
      </c>
      <c r="B19" s="1" t="s">
        <v>820</v>
      </c>
      <c r="C19" s="2">
        <v>4785008</v>
      </c>
      <c r="D19" s="460">
        <v>16773335</v>
      </c>
      <c r="E19" s="2">
        <v>5405245</v>
      </c>
      <c r="F19" s="2">
        <v>13001394</v>
      </c>
      <c r="G19" s="462">
        <v>1</v>
      </c>
      <c r="H19" s="463">
        <f t="shared" si="0"/>
        <v>-620237</v>
      </c>
      <c r="I19" s="464">
        <f t="shared" si="1"/>
        <v>0.88525274987535252</v>
      </c>
      <c r="J19" s="465">
        <f t="shared" si="2"/>
        <v>5405244</v>
      </c>
      <c r="K19" s="466">
        <f t="shared" si="3"/>
        <v>5405245</v>
      </c>
    </row>
    <row r="20" spans="1:11" x14ac:dyDescent="0.2">
      <c r="A20" s="40" t="s">
        <v>32</v>
      </c>
      <c r="B20" s="1" t="s">
        <v>821</v>
      </c>
      <c r="C20" s="2">
        <v>1387791</v>
      </c>
      <c r="D20" s="460">
        <v>1782698</v>
      </c>
      <c r="E20" s="2">
        <v>1081266</v>
      </c>
      <c r="F20" s="2">
        <v>755302</v>
      </c>
      <c r="G20" s="462">
        <v>1</v>
      </c>
      <c r="H20" s="463">
        <f t="shared" si="0"/>
        <v>306525</v>
      </c>
      <c r="I20" s="464">
        <f t="shared" si="1"/>
        <v>1.2834871345256393</v>
      </c>
      <c r="J20" s="465">
        <f t="shared" si="2"/>
        <v>1081265</v>
      </c>
      <c r="K20" s="466">
        <f t="shared" si="3"/>
        <v>1081266</v>
      </c>
    </row>
    <row r="21" spans="1:11" x14ac:dyDescent="0.2">
      <c r="A21" s="40" t="s">
        <v>30</v>
      </c>
      <c r="B21" s="1"/>
      <c r="C21" s="2"/>
      <c r="D21" s="460"/>
      <c r="E21" s="2"/>
      <c r="F21" s="2"/>
      <c r="G21" s="462"/>
      <c r="H21" s="463"/>
      <c r="I21" s="464"/>
      <c r="J21" s="465"/>
      <c r="K21" s="466"/>
    </row>
    <row r="22" spans="1:11" x14ac:dyDescent="0.2">
      <c r="A22" s="40" t="s">
        <v>298</v>
      </c>
      <c r="B22" s="1" t="s">
        <v>822</v>
      </c>
      <c r="C22" s="2">
        <v>212063</v>
      </c>
      <c r="D22" s="460">
        <v>863665</v>
      </c>
      <c r="E22" s="2">
        <v>179271</v>
      </c>
      <c r="F22" s="2">
        <v>649911</v>
      </c>
      <c r="G22" s="462">
        <v>1</v>
      </c>
      <c r="H22" s="463">
        <f t="shared" si="0"/>
        <v>32792</v>
      </c>
      <c r="I22" s="464">
        <f t="shared" si="1"/>
        <v>1.1829185981000832</v>
      </c>
      <c r="J22" s="465">
        <f t="shared" si="2"/>
        <v>179270</v>
      </c>
      <c r="K22" s="466">
        <f t="shared" si="3"/>
        <v>179271</v>
      </c>
    </row>
    <row r="23" spans="1:11" x14ac:dyDescent="0.2">
      <c r="A23" s="40" t="s">
        <v>41</v>
      </c>
      <c r="B23" s="1" t="s">
        <v>823</v>
      </c>
      <c r="C23" s="2">
        <v>228369</v>
      </c>
      <c r="D23" s="460">
        <v>40904</v>
      </c>
      <c r="E23" s="2">
        <v>147036</v>
      </c>
      <c r="F23" s="2">
        <v>213525</v>
      </c>
      <c r="G23" s="462">
        <v>1</v>
      </c>
      <c r="H23" s="463">
        <f>+C23-E23</f>
        <v>81333</v>
      </c>
      <c r="I23" s="464">
        <f t="shared" si="1"/>
        <v>1.5531502489186322</v>
      </c>
      <c r="J23" s="465">
        <f t="shared" si="2"/>
        <v>147035</v>
      </c>
      <c r="K23" s="466">
        <f t="shared" si="3"/>
        <v>147036</v>
      </c>
    </row>
    <row r="24" spans="1:11" x14ac:dyDescent="0.2">
      <c r="A24" s="40" t="s">
        <v>44</v>
      </c>
      <c r="B24" s="1">
        <v>232711</v>
      </c>
      <c r="C24" s="2"/>
      <c r="D24" s="2">
        <v>247400</v>
      </c>
      <c r="E24" s="2"/>
      <c r="F24" s="2">
        <v>38735</v>
      </c>
      <c r="G24" s="462">
        <v>1</v>
      </c>
      <c r="H24" s="463">
        <f>+C24-E24</f>
        <v>0</v>
      </c>
      <c r="I24" s="464">
        <v>0</v>
      </c>
      <c r="J24" s="465">
        <f t="shared" si="2"/>
        <v>-1</v>
      </c>
      <c r="K24" s="466">
        <f t="shared" si="3"/>
        <v>0</v>
      </c>
    </row>
    <row r="25" spans="1:11" ht="12.75" x14ac:dyDescent="0.2">
      <c r="A25" s="40" t="s">
        <v>295</v>
      </c>
      <c r="B25" s="1">
        <v>23.24</v>
      </c>
      <c r="C25" s="2">
        <v>7036808</v>
      </c>
      <c r="D25" s="2">
        <v>8483953</v>
      </c>
      <c r="E25" s="461">
        <v>7036808</v>
      </c>
      <c r="F25" s="461">
        <v>7791209</v>
      </c>
      <c r="G25" s="462">
        <v>1</v>
      </c>
      <c r="H25" s="463">
        <f>+C25-E25</f>
        <v>0</v>
      </c>
      <c r="I25" s="464">
        <f t="shared" si="1"/>
        <v>1</v>
      </c>
      <c r="J25" s="465">
        <f t="shared" si="2"/>
        <v>7036807</v>
      </c>
      <c r="K25" s="466">
        <f t="shared" si="3"/>
        <v>7036808</v>
      </c>
    </row>
    <row r="26" spans="1:11" ht="12.75" x14ac:dyDescent="0.2">
      <c r="A26" s="40" t="s">
        <v>299</v>
      </c>
      <c r="B26" s="1">
        <v>23.26</v>
      </c>
      <c r="C26" s="2">
        <v>157378</v>
      </c>
      <c r="D26" s="2">
        <v>251751</v>
      </c>
      <c r="E26" s="467">
        <v>157378</v>
      </c>
      <c r="F26" s="461">
        <v>256697</v>
      </c>
      <c r="G26" s="462">
        <v>1</v>
      </c>
      <c r="H26" s="463">
        <f t="shared" si="0"/>
        <v>0</v>
      </c>
      <c r="I26" s="464">
        <f t="shared" si="1"/>
        <v>1</v>
      </c>
      <c r="J26" s="465">
        <f t="shared" si="2"/>
        <v>157377</v>
      </c>
      <c r="K26" s="466">
        <f t="shared" si="3"/>
        <v>157378</v>
      </c>
    </row>
    <row r="27" spans="1:11" ht="12.75" x14ac:dyDescent="0.2">
      <c r="A27" s="40" t="s">
        <v>292</v>
      </c>
      <c r="B27" s="1">
        <v>23.22</v>
      </c>
      <c r="C27" s="2">
        <v>4626393</v>
      </c>
      <c r="D27" s="2">
        <v>5112702</v>
      </c>
      <c r="E27" s="467">
        <v>4626393</v>
      </c>
      <c r="F27" s="461">
        <v>4633071</v>
      </c>
      <c r="G27" s="462">
        <v>1</v>
      </c>
      <c r="H27" s="463">
        <f t="shared" si="0"/>
        <v>0</v>
      </c>
      <c r="I27" s="464">
        <f t="shared" si="1"/>
        <v>1</v>
      </c>
      <c r="J27" s="465">
        <f t="shared" si="2"/>
        <v>4626392</v>
      </c>
      <c r="K27" s="466">
        <f t="shared" si="3"/>
        <v>4626393</v>
      </c>
    </row>
    <row r="28" spans="1:11" ht="12.75" x14ac:dyDescent="0.2">
      <c r="A28" s="40" t="s">
        <v>294</v>
      </c>
      <c r="B28" s="1">
        <v>23.23</v>
      </c>
      <c r="C28" s="2">
        <v>214854</v>
      </c>
      <c r="D28" s="2">
        <v>176470</v>
      </c>
      <c r="E28" s="467">
        <v>214854</v>
      </c>
      <c r="F28" s="461">
        <v>143489</v>
      </c>
      <c r="G28" s="462">
        <v>1</v>
      </c>
      <c r="H28" s="463">
        <f t="shared" si="0"/>
        <v>0</v>
      </c>
      <c r="I28" s="464">
        <f t="shared" si="1"/>
        <v>1</v>
      </c>
      <c r="J28" s="465">
        <f t="shared" si="2"/>
        <v>214853</v>
      </c>
      <c r="K28" s="466">
        <f t="shared" si="3"/>
        <v>214854</v>
      </c>
    </row>
    <row r="29" spans="1:11" x14ac:dyDescent="0.2">
      <c r="A29" s="40" t="s">
        <v>29</v>
      </c>
      <c r="B29" s="1"/>
      <c r="C29" s="2"/>
      <c r="D29" s="2"/>
      <c r="E29" s="467"/>
      <c r="F29" s="2"/>
      <c r="G29" s="462"/>
      <c r="H29" s="463"/>
      <c r="I29" s="464"/>
      <c r="J29" s="465"/>
      <c r="K29" s="466"/>
    </row>
    <row r="30" spans="1:11" ht="12.75" x14ac:dyDescent="0.2">
      <c r="A30" s="40" t="s">
        <v>301</v>
      </c>
      <c r="B30" s="1">
        <v>23.27</v>
      </c>
      <c r="C30" s="2">
        <v>8135022</v>
      </c>
      <c r="D30" s="2">
        <v>16984452</v>
      </c>
      <c r="E30" s="467">
        <v>8135022</v>
      </c>
      <c r="F30" s="461">
        <v>13735446</v>
      </c>
      <c r="G30" s="462">
        <v>1</v>
      </c>
      <c r="H30" s="463">
        <f t="shared" si="0"/>
        <v>0</v>
      </c>
      <c r="I30" s="464">
        <f t="shared" si="1"/>
        <v>1</v>
      </c>
      <c r="J30" s="465">
        <f t="shared" si="2"/>
        <v>8135021</v>
      </c>
      <c r="K30" s="466">
        <f t="shared" si="3"/>
        <v>8135022</v>
      </c>
    </row>
    <row r="31" spans="1:11" ht="12.75" x14ac:dyDescent="0.2">
      <c r="A31" s="40" t="s">
        <v>303</v>
      </c>
      <c r="B31" s="1">
        <v>23.18</v>
      </c>
      <c r="C31" s="2">
        <v>4488270</v>
      </c>
      <c r="D31" s="2">
        <v>14145427</v>
      </c>
      <c r="E31" s="467">
        <v>4488270</v>
      </c>
      <c r="F31" s="461">
        <v>11759659</v>
      </c>
      <c r="G31" s="462">
        <v>1</v>
      </c>
      <c r="H31" s="463">
        <f t="shared" si="0"/>
        <v>0</v>
      </c>
      <c r="I31" s="464">
        <f t="shared" si="1"/>
        <v>1</v>
      </c>
      <c r="J31" s="465">
        <f t="shared" si="2"/>
        <v>4488269</v>
      </c>
      <c r="K31" s="466">
        <f t="shared" si="3"/>
        <v>4488270</v>
      </c>
    </row>
    <row r="32" spans="1:11" ht="12.75" x14ac:dyDescent="0.2">
      <c r="A32" s="40" t="s">
        <v>291</v>
      </c>
      <c r="B32" s="1" t="s">
        <v>824</v>
      </c>
      <c r="C32" s="2">
        <v>103508</v>
      </c>
      <c r="D32" s="2">
        <v>178590</v>
      </c>
      <c r="E32" s="461">
        <v>11090</v>
      </c>
      <c r="F32" s="461">
        <v>13195</v>
      </c>
      <c r="G32" s="462">
        <v>1</v>
      </c>
      <c r="H32" s="463">
        <f t="shared" si="0"/>
        <v>92418</v>
      </c>
      <c r="I32" s="464">
        <f t="shared" si="1"/>
        <v>9.3334535617673584</v>
      </c>
      <c r="J32" s="465">
        <f t="shared" si="2"/>
        <v>11089</v>
      </c>
      <c r="K32" s="466">
        <f t="shared" si="3"/>
        <v>11090</v>
      </c>
    </row>
    <row r="33" spans="1:11" ht="12.75" x14ac:dyDescent="0.2">
      <c r="A33" s="40" t="s">
        <v>305</v>
      </c>
      <c r="B33" s="1" t="s">
        <v>825</v>
      </c>
      <c r="C33" s="2">
        <v>107399</v>
      </c>
      <c r="D33" s="2">
        <v>43046</v>
      </c>
      <c r="E33" s="461">
        <v>107399</v>
      </c>
      <c r="F33" s="461">
        <v>20637</v>
      </c>
      <c r="G33" s="462">
        <v>1</v>
      </c>
      <c r="H33" s="463">
        <f t="shared" si="0"/>
        <v>0</v>
      </c>
      <c r="I33" s="464">
        <f t="shared" si="1"/>
        <v>1</v>
      </c>
      <c r="J33" s="465">
        <f t="shared" si="2"/>
        <v>107398</v>
      </c>
      <c r="K33" s="466">
        <f t="shared" si="3"/>
        <v>107399</v>
      </c>
    </row>
    <row r="34" spans="1:11" x14ac:dyDescent="0.2">
      <c r="A34" s="40" t="s">
        <v>39</v>
      </c>
      <c r="B34" s="1"/>
      <c r="C34" s="2"/>
      <c r="D34" s="2"/>
      <c r="E34" s="467"/>
      <c r="F34" s="2"/>
      <c r="G34" s="462"/>
      <c r="H34" s="463"/>
      <c r="I34" s="464"/>
      <c r="J34" s="465"/>
      <c r="K34" s="466"/>
    </row>
    <row r="35" spans="1:11" ht="12.75" x14ac:dyDescent="0.2">
      <c r="A35" s="40" t="s">
        <v>290</v>
      </c>
      <c r="B35" s="1">
        <v>23.21</v>
      </c>
      <c r="C35" s="2">
        <v>3045933</v>
      </c>
      <c r="D35" s="2">
        <v>1887318</v>
      </c>
      <c r="E35" s="461">
        <v>3045933</v>
      </c>
      <c r="F35" s="461">
        <v>2720631</v>
      </c>
      <c r="G35" s="462">
        <v>1</v>
      </c>
      <c r="H35" s="463">
        <f t="shared" si="0"/>
        <v>0</v>
      </c>
      <c r="I35" s="464">
        <f t="shared" si="1"/>
        <v>1</v>
      </c>
      <c r="J35" s="465">
        <f t="shared" si="2"/>
        <v>3045932</v>
      </c>
      <c r="K35" s="466">
        <f t="shared" si="3"/>
        <v>3045933</v>
      </c>
    </row>
    <row r="36" spans="1:11" x14ac:dyDescent="0.2">
      <c r="A36" s="40" t="s">
        <v>42</v>
      </c>
      <c r="B36" s="1"/>
      <c r="C36" s="2"/>
      <c r="D36" s="460"/>
      <c r="E36" s="467"/>
      <c r="F36" s="2"/>
      <c r="G36" s="462"/>
      <c r="H36" s="463"/>
      <c r="I36" s="464"/>
      <c r="J36" s="465"/>
      <c r="K36" s="466"/>
    </row>
    <row r="37" spans="1:11" ht="12.75" thickBot="1" x14ac:dyDescent="0.25">
      <c r="A37" s="40"/>
      <c r="B37" s="1"/>
      <c r="C37" s="21"/>
      <c r="D37" s="30"/>
      <c r="E37" s="28"/>
      <c r="F37" s="21"/>
      <c r="G37" s="462"/>
      <c r="H37" s="463"/>
      <c r="I37" s="464"/>
      <c r="J37" s="465"/>
      <c r="K37" s="466"/>
    </row>
    <row r="38" spans="1:11" ht="12.75" thickBot="1" x14ac:dyDescent="0.25">
      <c r="A38" s="72" t="s">
        <v>57</v>
      </c>
      <c r="B38" s="72"/>
      <c r="C38" s="34"/>
      <c r="D38" s="37"/>
      <c r="E38" s="221"/>
      <c r="F38" s="35"/>
      <c r="G38" s="39"/>
      <c r="H38" s="34"/>
      <c r="I38" s="33"/>
      <c r="J38" s="32"/>
      <c r="K38" s="36"/>
    </row>
    <row r="39" spans="1:11" x14ac:dyDescent="0.2">
      <c r="A39" s="1" t="s">
        <v>59</v>
      </c>
      <c r="B39" s="1"/>
      <c r="C39" s="2"/>
      <c r="D39" s="2"/>
      <c r="E39" s="2"/>
      <c r="F39" s="2"/>
      <c r="G39" s="2"/>
      <c r="H39" s="2"/>
      <c r="I39" s="2"/>
      <c r="J39" s="2"/>
    </row>
    <row r="40" spans="1:11" x14ac:dyDescent="0.2">
      <c r="A40" s="1" t="s">
        <v>387</v>
      </c>
      <c r="B40" s="1"/>
      <c r="C40" s="21"/>
      <c r="D40" s="21"/>
      <c r="E40" s="21"/>
      <c r="F40" s="21"/>
      <c r="G40" s="21"/>
      <c r="H40" s="21"/>
      <c r="I40" s="21"/>
      <c r="J40" s="21"/>
    </row>
    <row r="41" spans="1:11" x14ac:dyDescent="0.2">
      <c r="A41" s="1" t="s">
        <v>181</v>
      </c>
      <c r="B41" s="1"/>
      <c r="C41" s="2"/>
      <c r="D41" s="2"/>
      <c r="E41" s="2"/>
      <c r="F41" s="2"/>
      <c r="G41" s="2"/>
      <c r="H41" s="2"/>
      <c r="I41" s="2"/>
      <c r="J41" s="2"/>
    </row>
    <row r="42" spans="1:11" x14ac:dyDescent="0.2">
      <c r="A42" s="1"/>
      <c r="B42" s="1"/>
      <c r="C42" s="2"/>
      <c r="D42" s="2"/>
      <c r="E42" s="2"/>
      <c r="F42" s="2"/>
      <c r="G42" s="2"/>
      <c r="H42" s="2"/>
      <c r="I42" s="2"/>
      <c r="J42" s="2"/>
    </row>
  </sheetData>
  <mergeCells count="10">
    <mergeCell ref="H4:H5"/>
    <mergeCell ref="I4:I5"/>
    <mergeCell ref="J4:J5"/>
    <mergeCell ref="K4:K5"/>
    <mergeCell ref="A4:A5"/>
    <mergeCell ref="C4:C5"/>
    <mergeCell ref="D4:D5"/>
    <mergeCell ref="E4:E5"/>
    <mergeCell ref="F4:F5"/>
    <mergeCell ref="G4:G5"/>
  </mergeCells>
  <printOptions horizontalCentered="1"/>
  <pageMargins left="0.25" right="0.25" top="0.75" bottom="0.75" header="0.3" footer="0.3"/>
  <pageSetup paperSize="9" scale="78" orientation="landscape" r:id="rId1"/>
  <headerFooter alignWithMargins="0">
    <oddHeader>&amp;C&amp;"Arial,Negrita"&amp;18PROYECTO DE PRESUPUESTO 2021</oddHeader>
    <oddFooter>&amp;L&amp;"Arial,Negrita"&amp;8PROYECTO DE PRESUPUESTO PARA EL AÑO FISCAL 2020
INFORMACIÓN PARA LA COMISIÓN DE PRESUPUESTO Y CUENTA GENERAL DE LA REPÚBLICA DEL CONGRESO DE LA REPÚBLICA</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Hoja10">
    <tabColor theme="9" tint="-0.249977111117893"/>
    <pageSetUpPr fitToPage="1"/>
  </sheetPr>
  <dimension ref="A1:Z35"/>
  <sheetViews>
    <sheetView view="pageLayout" zoomScale="70" zoomScaleNormal="100" zoomScaleSheetLayoutView="90" zoomScalePageLayoutView="70" workbookViewId="0">
      <selection activeCell="J18" sqref="J18"/>
    </sheetView>
  </sheetViews>
  <sheetFormatPr baseColWidth="10" defaultColWidth="11.42578125" defaultRowHeight="12" x14ac:dyDescent="0.2"/>
  <cols>
    <col min="1" max="1" width="54.7109375" style="223" customWidth="1"/>
    <col min="2" max="4" width="15.5703125" style="223" customWidth="1"/>
    <col min="5" max="6" width="17.42578125" style="223" customWidth="1"/>
    <col min="7" max="7" width="4.85546875" style="223" hidden="1" customWidth="1"/>
    <col min="8" max="8" width="15.5703125" style="223" customWidth="1"/>
    <col min="9" max="9" width="27.42578125" style="223" customWidth="1"/>
    <col min="10" max="15" width="15.5703125" style="223" customWidth="1"/>
    <col min="16" max="16384" width="11.42578125" style="223"/>
  </cols>
  <sheetData>
    <row r="1" spans="1:26" ht="15.75" customHeight="1" x14ac:dyDescent="0.2">
      <c r="A1" s="2" t="s">
        <v>461</v>
      </c>
      <c r="B1" s="2"/>
      <c r="C1" s="2"/>
      <c r="D1" s="2"/>
      <c r="E1" s="2"/>
      <c r="F1" s="2"/>
      <c r="G1" s="2"/>
      <c r="H1" s="2"/>
      <c r="I1" s="2"/>
      <c r="J1" s="2"/>
      <c r="K1" s="2"/>
      <c r="L1" s="2"/>
      <c r="M1" s="2"/>
      <c r="N1" s="2"/>
      <c r="O1" s="2"/>
    </row>
    <row r="2" spans="1:26" x14ac:dyDescent="0.2">
      <c r="A2" s="2" t="s">
        <v>373</v>
      </c>
      <c r="B2" s="2"/>
      <c r="C2" s="2"/>
      <c r="D2" s="2"/>
      <c r="E2" s="2"/>
      <c r="F2" s="2"/>
      <c r="G2" s="2"/>
      <c r="H2" s="2"/>
      <c r="I2" s="2"/>
      <c r="J2" s="2"/>
      <c r="K2" s="2"/>
      <c r="L2" s="2"/>
      <c r="M2" s="2"/>
      <c r="N2" s="2"/>
      <c r="O2" s="2"/>
      <c r="P2" s="2"/>
      <c r="Q2" s="2"/>
      <c r="R2" s="2"/>
      <c r="S2" s="2"/>
      <c r="T2" s="2"/>
      <c r="U2" s="2"/>
      <c r="V2" s="2"/>
      <c r="W2" s="2"/>
      <c r="X2" s="2"/>
      <c r="Y2" s="2"/>
      <c r="Z2" s="2"/>
    </row>
    <row r="3" spans="1:26" ht="12.75" thickBot="1" x14ac:dyDescent="0.25">
      <c r="B3" s="6"/>
      <c r="H3" s="6"/>
      <c r="I3" s="6"/>
    </row>
    <row r="4" spans="1:26" ht="13.5" hidden="1" customHeight="1" x14ac:dyDescent="0.2">
      <c r="A4" s="58" t="s">
        <v>98</v>
      </c>
      <c r="B4" s="55"/>
      <c r="C4" s="44"/>
      <c r="D4" s="44"/>
      <c r="E4" s="44"/>
      <c r="F4" s="44"/>
      <c r="G4" s="44"/>
      <c r="H4" s="44"/>
      <c r="I4" s="44"/>
      <c r="J4" s="44"/>
      <c r="K4" s="44"/>
      <c r="L4" s="44"/>
      <c r="M4" s="44"/>
      <c r="N4" s="44"/>
      <c r="O4" s="44"/>
    </row>
    <row r="5" spans="1:26" ht="57" customHeight="1" thickBot="1" x14ac:dyDescent="0.25">
      <c r="A5" s="280" t="s">
        <v>101</v>
      </c>
      <c r="B5" s="164" t="s">
        <v>102</v>
      </c>
      <c r="C5" s="163" t="s">
        <v>103</v>
      </c>
      <c r="D5" s="163" t="s">
        <v>222</v>
      </c>
      <c r="E5" s="163" t="s">
        <v>223</v>
      </c>
      <c r="F5" s="163" t="s">
        <v>259</v>
      </c>
      <c r="G5" s="163" t="s">
        <v>826</v>
      </c>
      <c r="H5" s="163" t="s">
        <v>183</v>
      </c>
      <c r="I5" s="163" t="s">
        <v>221</v>
      </c>
      <c r="J5" s="163" t="s">
        <v>185</v>
      </c>
      <c r="K5" s="163" t="s">
        <v>184</v>
      </c>
      <c r="L5" s="163" t="s">
        <v>186</v>
      </c>
      <c r="M5" s="163" t="s">
        <v>187</v>
      </c>
      <c r="N5" s="163" t="s">
        <v>188</v>
      </c>
      <c r="O5" s="163" t="s">
        <v>189</v>
      </c>
    </row>
    <row r="6" spans="1:26" ht="84" x14ac:dyDescent="0.2">
      <c r="A6" s="468" t="s">
        <v>827</v>
      </c>
      <c r="B6" s="469">
        <v>2224540</v>
      </c>
      <c r="C6" s="470" t="s">
        <v>828</v>
      </c>
      <c r="D6" s="470" t="s">
        <v>829</v>
      </c>
      <c r="E6" s="470" t="s">
        <v>830</v>
      </c>
      <c r="F6" s="471">
        <v>10092499</v>
      </c>
      <c r="G6" s="472">
        <v>982677.15</v>
      </c>
      <c r="H6" s="473">
        <v>43434</v>
      </c>
      <c r="I6" s="470" t="s">
        <v>831</v>
      </c>
      <c r="J6" s="474">
        <v>240</v>
      </c>
      <c r="K6" s="473">
        <v>43695</v>
      </c>
      <c r="L6" s="474">
        <v>340</v>
      </c>
      <c r="M6" s="473">
        <v>44159</v>
      </c>
      <c r="N6" s="475">
        <v>44195</v>
      </c>
      <c r="O6" s="462"/>
      <c r="P6" s="476"/>
    </row>
    <row r="7" spans="1:26" ht="48" x14ac:dyDescent="0.2">
      <c r="A7" s="468" t="s">
        <v>827</v>
      </c>
      <c r="B7" s="469">
        <v>2224540</v>
      </c>
      <c r="C7" s="470" t="s">
        <v>828</v>
      </c>
      <c r="D7" s="470" t="s">
        <v>829</v>
      </c>
      <c r="E7" s="470" t="s">
        <v>830</v>
      </c>
      <c r="F7" s="471">
        <v>8845105</v>
      </c>
      <c r="G7" s="472">
        <v>5334749.63</v>
      </c>
      <c r="H7" s="473"/>
      <c r="I7" s="470"/>
      <c r="J7" s="474"/>
      <c r="K7" s="473"/>
      <c r="L7" s="474"/>
      <c r="M7" s="473"/>
      <c r="N7" s="475"/>
      <c r="O7" s="462"/>
      <c r="P7" s="223" t="s">
        <v>832</v>
      </c>
    </row>
    <row r="8" spans="1:26" ht="48" x14ac:dyDescent="0.2">
      <c r="A8" s="468" t="s">
        <v>827</v>
      </c>
      <c r="B8" s="469">
        <v>2224540</v>
      </c>
      <c r="C8" s="470" t="s">
        <v>828</v>
      </c>
      <c r="D8" s="470" t="s">
        <v>829</v>
      </c>
      <c r="E8" s="470" t="s">
        <v>830</v>
      </c>
      <c r="F8" s="471">
        <v>3544010</v>
      </c>
      <c r="G8" s="472"/>
      <c r="H8" s="473"/>
      <c r="I8" s="470"/>
      <c r="J8" s="474"/>
      <c r="K8" s="473"/>
      <c r="O8" s="462"/>
      <c r="P8" s="223" t="s">
        <v>833</v>
      </c>
    </row>
    <row r="9" spans="1:26" x14ac:dyDescent="0.2">
      <c r="A9" s="468"/>
      <c r="B9" s="469"/>
      <c r="C9" s="470"/>
      <c r="D9" s="470"/>
      <c r="E9" s="470"/>
      <c r="F9" s="470"/>
      <c r="G9" s="472"/>
      <c r="H9" s="473"/>
      <c r="I9" s="470"/>
      <c r="J9" s="474"/>
      <c r="K9" s="473"/>
      <c r="L9" s="474"/>
      <c r="M9" s="473"/>
      <c r="N9" s="475"/>
      <c r="O9" s="462"/>
    </row>
    <row r="10" spans="1:26" ht="48" x14ac:dyDescent="0.2">
      <c r="A10" s="468" t="s">
        <v>834</v>
      </c>
      <c r="B10" s="469">
        <v>2251714</v>
      </c>
      <c r="C10" s="470" t="s">
        <v>828</v>
      </c>
      <c r="D10" s="474" t="s">
        <v>835</v>
      </c>
      <c r="E10" s="470" t="s">
        <v>836</v>
      </c>
      <c r="F10" s="471">
        <v>4747727.01</v>
      </c>
      <c r="G10" s="472"/>
      <c r="H10" s="473">
        <v>43826</v>
      </c>
      <c r="I10" s="470" t="s">
        <v>837</v>
      </c>
      <c r="J10" s="474">
        <v>180</v>
      </c>
      <c r="K10" s="473">
        <v>44086</v>
      </c>
      <c r="L10" s="474"/>
      <c r="M10" s="473">
        <v>43834</v>
      </c>
      <c r="N10" s="475">
        <f>+M10+30</f>
        <v>43864</v>
      </c>
      <c r="O10" s="462"/>
      <c r="P10" s="223" t="s">
        <v>838</v>
      </c>
    </row>
    <row r="11" spans="1:26" ht="48" x14ac:dyDescent="0.2">
      <c r="A11" s="468" t="s">
        <v>834</v>
      </c>
      <c r="B11" s="469">
        <v>2251714</v>
      </c>
      <c r="C11" s="470" t="s">
        <v>828</v>
      </c>
      <c r="D11" s="474" t="s">
        <v>835</v>
      </c>
      <c r="E11" s="470" t="s">
        <v>836</v>
      </c>
      <c r="F11" s="471">
        <v>3002196</v>
      </c>
      <c r="G11" s="477"/>
      <c r="H11" s="474"/>
      <c r="I11" s="474"/>
      <c r="J11" s="474"/>
      <c r="K11" s="474"/>
      <c r="L11" s="474"/>
      <c r="M11" s="474"/>
      <c r="N11" s="462"/>
      <c r="O11" s="462"/>
      <c r="P11" s="476"/>
      <c r="R11" s="476"/>
    </row>
    <row r="12" spans="1:26" x14ac:dyDescent="0.2">
      <c r="A12" s="478"/>
      <c r="B12" s="469"/>
      <c r="C12" s="474"/>
      <c r="D12" s="474"/>
      <c r="E12" s="474"/>
      <c r="F12" s="474"/>
      <c r="G12" s="474"/>
      <c r="H12" s="474"/>
      <c r="I12" s="474"/>
      <c r="J12" s="474"/>
      <c r="K12" s="474"/>
      <c r="L12" s="474"/>
      <c r="M12" s="474"/>
      <c r="N12" s="462"/>
      <c r="O12" s="462"/>
    </row>
    <row r="13" spans="1:26" x14ac:dyDescent="0.2">
      <c r="A13" s="478"/>
      <c r="B13" s="469"/>
      <c r="C13" s="474"/>
      <c r="D13" s="474"/>
      <c r="E13" s="474"/>
      <c r="F13" s="474"/>
      <c r="G13" s="474"/>
      <c r="H13" s="474"/>
      <c r="I13" s="474"/>
      <c r="J13" s="474"/>
      <c r="K13" s="474"/>
      <c r="L13" s="474"/>
      <c r="M13" s="474"/>
      <c r="N13" s="462"/>
      <c r="O13" s="462"/>
    </row>
    <row r="14" spans="1:26" x14ac:dyDescent="0.2">
      <c r="A14" s="478"/>
      <c r="B14" s="469"/>
      <c r="C14" s="474"/>
      <c r="D14" s="474"/>
      <c r="E14" s="474"/>
      <c r="F14" s="474"/>
      <c r="G14" s="474"/>
      <c r="H14" s="474"/>
      <c r="I14" s="474"/>
      <c r="J14" s="474"/>
      <c r="K14" s="474"/>
      <c r="L14" s="474"/>
      <c r="M14" s="474"/>
      <c r="N14" s="462"/>
      <c r="O14" s="462"/>
    </row>
    <row r="15" spans="1:26" x14ac:dyDescent="0.2">
      <c r="A15" s="478"/>
      <c r="B15" s="469"/>
      <c r="C15" s="474"/>
      <c r="D15" s="474"/>
      <c r="E15" s="474"/>
      <c r="F15" s="474"/>
      <c r="G15" s="474"/>
      <c r="H15" s="474"/>
      <c r="I15" s="474"/>
      <c r="J15" s="474"/>
      <c r="K15" s="474"/>
      <c r="L15" s="474"/>
      <c r="M15" s="474"/>
      <c r="N15" s="462"/>
      <c r="O15" s="462"/>
    </row>
    <row r="16" spans="1:26" x14ac:dyDescent="0.2">
      <c r="A16" s="478"/>
      <c r="B16" s="469"/>
      <c r="C16" s="474"/>
      <c r="D16" s="474"/>
      <c r="E16" s="474"/>
      <c r="F16" s="474"/>
      <c r="G16" s="474"/>
      <c r="H16" s="474"/>
      <c r="I16" s="474"/>
      <c r="J16" s="474"/>
      <c r="K16" s="474"/>
      <c r="L16" s="474"/>
      <c r="M16" s="474"/>
      <c r="N16" s="462"/>
      <c r="O16" s="462"/>
    </row>
    <row r="17" spans="1:15" x14ac:dyDescent="0.2">
      <c r="A17" s="478"/>
      <c r="B17" s="469"/>
      <c r="C17" s="474"/>
      <c r="D17" s="474"/>
      <c r="E17" s="474"/>
      <c r="F17" s="474"/>
      <c r="G17" s="474"/>
      <c r="H17" s="474"/>
      <c r="I17" s="474"/>
      <c r="J17" s="474"/>
      <c r="K17" s="474"/>
      <c r="L17" s="474"/>
      <c r="M17" s="474"/>
      <c r="N17" s="462"/>
      <c r="O17" s="462"/>
    </row>
    <row r="18" spans="1:15" x14ac:dyDescent="0.2">
      <c r="A18" s="478"/>
      <c r="B18" s="469"/>
      <c r="C18" s="474"/>
      <c r="D18" s="474"/>
      <c r="E18" s="474"/>
      <c r="F18" s="474"/>
      <c r="G18" s="474"/>
      <c r="H18" s="474"/>
      <c r="I18" s="474"/>
      <c r="J18" s="474"/>
      <c r="K18" s="474"/>
      <c r="L18" s="474"/>
      <c r="M18" s="474"/>
      <c r="N18" s="462"/>
      <c r="O18" s="462"/>
    </row>
    <row r="19" spans="1:15" x14ac:dyDescent="0.2">
      <c r="A19" s="478"/>
      <c r="B19" s="469"/>
      <c r="C19" s="474"/>
      <c r="D19" s="474"/>
      <c r="E19" s="474"/>
      <c r="F19" s="474"/>
      <c r="G19" s="474"/>
      <c r="H19" s="474"/>
      <c r="I19" s="474"/>
      <c r="J19" s="474"/>
      <c r="K19" s="474"/>
      <c r="L19" s="474"/>
      <c r="M19" s="474"/>
      <c r="N19" s="462"/>
      <c r="O19" s="462"/>
    </row>
    <row r="20" spans="1:15" x14ac:dyDescent="0.2">
      <c r="A20" s="478"/>
      <c r="B20" s="469"/>
      <c r="C20" s="474"/>
      <c r="D20" s="474"/>
      <c r="E20" s="474"/>
      <c r="F20" s="474"/>
      <c r="G20" s="474"/>
      <c r="H20" s="474"/>
      <c r="I20" s="474"/>
      <c r="J20" s="474"/>
      <c r="K20" s="474"/>
      <c r="L20" s="474"/>
      <c r="M20" s="474"/>
      <c r="N20" s="462"/>
      <c r="O20" s="462"/>
    </row>
    <row r="21" spans="1:15" x14ac:dyDescent="0.2">
      <c r="A21" s="478"/>
      <c r="B21" s="469"/>
      <c r="C21" s="474"/>
      <c r="D21" s="474"/>
      <c r="E21" s="474"/>
      <c r="F21" s="474"/>
      <c r="G21" s="474"/>
      <c r="H21" s="474"/>
      <c r="I21" s="474"/>
      <c r="J21" s="474"/>
      <c r="K21" s="474"/>
      <c r="L21" s="474"/>
      <c r="M21" s="474"/>
      <c r="N21" s="462"/>
      <c r="O21" s="462"/>
    </row>
    <row r="22" spans="1:15" x14ac:dyDescent="0.2">
      <c r="A22" s="478"/>
      <c r="B22" s="469"/>
      <c r="C22" s="474"/>
      <c r="D22" s="474"/>
      <c r="E22" s="474"/>
      <c r="F22" s="474"/>
      <c r="G22" s="474"/>
      <c r="H22" s="474"/>
      <c r="I22" s="474"/>
      <c r="J22" s="474"/>
      <c r="K22" s="474"/>
      <c r="L22" s="474"/>
      <c r="M22" s="474"/>
      <c r="N22" s="462"/>
      <c r="O22" s="462"/>
    </row>
    <row r="23" spans="1:15" x14ac:dyDescent="0.2">
      <c r="A23" s="478"/>
      <c r="B23" s="469"/>
      <c r="C23" s="474"/>
      <c r="D23" s="474"/>
      <c r="E23" s="474"/>
      <c r="F23" s="474"/>
      <c r="G23" s="474"/>
      <c r="H23" s="474"/>
      <c r="I23" s="474"/>
      <c r="J23" s="474"/>
      <c r="K23" s="474"/>
      <c r="L23" s="474"/>
      <c r="M23" s="474"/>
      <c r="N23" s="462"/>
      <c r="O23" s="462"/>
    </row>
    <row r="24" spans="1:15" x14ac:dyDescent="0.2">
      <c r="A24" s="478"/>
      <c r="B24" s="469"/>
      <c r="C24" s="474"/>
      <c r="D24" s="474"/>
      <c r="E24" s="474"/>
      <c r="F24" s="474"/>
      <c r="G24" s="474"/>
      <c r="H24" s="474"/>
      <c r="I24" s="474"/>
      <c r="J24" s="474"/>
      <c r="K24" s="474"/>
      <c r="L24" s="474"/>
      <c r="M24" s="474"/>
      <c r="N24" s="462"/>
      <c r="O24" s="462"/>
    </row>
    <row r="25" spans="1:15" x14ac:dyDescent="0.2">
      <c r="A25" s="478"/>
      <c r="B25" s="469"/>
      <c r="C25" s="474"/>
      <c r="D25" s="474"/>
      <c r="E25" s="474"/>
      <c r="F25" s="474"/>
      <c r="G25" s="474"/>
      <c r="H25" s="474"/>
      <c r="I25" s="474"/>
      <c r="J25" s="474"/>
      <c r="K25" s="474"/>
      <c r="L25" s="474"/>
      <c r="M25" s="474"/>
      <c r="N25" s="462"/>
      <c r="O25" s="462"/>
    </row>
    <row r="26" spans="1:15" x14ac:dyDescent="0.2">
      <c r="A26" s="478"/>
      <c r="B26" s="469"/>
      <c r="C26" s="474"/>
      <c r="D26" s="474"/>
      <c r="E26" s="474"/>
      <c r="F26" s="474"/>
      <c r="G26" s="474"/>
      <c r="H26" s="474"/>
      <c r="I26" s="474"/>
      <c r="J26" s="474"/>
      <c r="K26" s="474"/>
      <c r="L26" s="474"/>
      <c r="M26" s="474"/>
      <c r="N26" s="462"/>
      <c r="O26" s="462"/>
    </row>
    <row r="27" spans="1:15" x14ac:dyDescent="0.2">
      <c r="A27" s="478"/>
      <c r="B27" s="469"/>
      <c r="C27" s="474"/>
      <c r="D27" s="474"/>
      <c r="E27" s="474"/>
      <c r="F27" s="474"/>
      <c r="G27" s="474"/>
      <c r="H27" s="474"/>
      <c r="I27" s="474"/>
      <c r="J27" s="474"/>
      <c r="K27" s="474"/>
      <c r="L27" s="474"/>
      <c r="M27" s="474"/>
      <c r="N27" s="462"/>
      <c r="O27" s="462"/>
    </row>
    <row r="28" spans="1:15" x14ac:dyDescent="0.2">
      <c r="A28" s="478">
        <v>20</v>
      </c>
      <c r="B28" s="469"/>
      <c r="C28" s="474"/>
      <c r="D28" s="474"/>
      <c r="E28" s="474"/>
      <c r="F28" s="474"/>
      <c r="G28" s="474"/>
      <c r="H28" s="474"/>
      <c r="I28" s="474"/>
      <c r="J28" s="474"/>
      <c r="K28" s="474"/>
      <c r="L28" s="474"/>
      <c r="M28" s="474"/>
      <c r="N28" s="462"/>
      <c r="O28" s="462"/>
    </row>
    <row r="29" spans="1:15" ht="12.75" thickBot="1" x14ac:dyDescent="0.25">
      <c r="A29" s="60" t="s">
        <v>116</v>
      </c>
      <c r="B29" s="57"/>
      <c r="C29" s="29"/>
      <c r="D29" s="29"/>
      <c r="E29" s="29"/>
      <c r="F29" s="29"/>
      <c r="G29" s="29"/>
      <c r="H29" s="29"/>
      <c r="I29" s="29"/>
      <c r="J29" s="29"/>
      <c r="K29" s="29"/>
      <c r="L29" s="29"/>
      <c r="M29" s="29"/>
      <c r="N29" s="38"/>
      <c r="O29" s="38"/>
    </row>
    <row r="30" spans="1:15" ht="12.75" thickBot="1" x14ac:dyDescent="0.25">
      <c r="A30" s="74" t="s">
        <v>0</v>
      </c>
      <c r="B30" s="43"/>
      <c r="C30" s="39"/>
      <c r="D30" s="36"/>
      <c r="E30" s="36"/>
      <c r="F30" s="36"/>
      <c r="G30" s="36"/>
      <c r="H30" s="39"/>
      <c r="I30" s="39"/>
      <c r="J30" s="39"/>
      <c r="K30" s="39"/>
      <c r="L30" s="39"/>
      <c r="M30" s="39"/>
      <c r="N30" s="39"/>
      <c r="O30" s="39"/>
    </row>
    <row r="31" spans="1:15" x14ac:dyDescent="0.2">
      <c r="A31" s="1" t="s">
        <v>389</v>
      </c>
      <c r="B31" s="2"/>
      <c r="C31" s="2"/>
      <c r="D31" s="2"/>
      <c r="E31" s="2"/>
      <c r="F31" s="2"/>
      <c r="G31" s="2"/>
      <c r="H31" s="2"/>
      <c r="I31" s="2"/>
      <c r="J31" s="2"/>
      <c r="K31" s="2"/>
      <c r="L31" s="2"/>
      <c r="M31" s="2"/>
    </row>
    <row r="32" spans="1:15" x14ac:dyDescent="0.2">
      <c r="A32" s="16"/>
      <c r="B32" s="16"/>
    </row>
    <row r="33" spans="1:1" x14ac:dyDescent="0.2">
      <c r="A33" s="16"/>
    </row>
    <row r="34" spans="1:1" x14ac:dyDescent="0.2">
      <c r="A34" s="16"/>
    </row>
    <row r="35" spans="1:1" x14ac:dyDescent="0.2">
      <c r="A35" s="16"/>
    </row>
  </sheetData>
  <printOptions horizontalCentered="1"/>
  <pageMargins left="0.25" right="0.25" top="0.75" bottom="0.75" header="0.3" footer="0.3"/>
  <pageSetup paperSize="9" scale="45" orientation="landscape" r:id="rId1"/>
  <headerFooter alignWithMargins="0">
    <oddHeader xml:space="preserve">&amp;C&amp;"Arial,Negrita"&amp;18PROYECTO DE PRESUPUESTO 2021
</oddHeader>
    <oddFooter>&amp;L&amp;"Arial,Negrita"&amp;8PROYECTO DE PRESUPUESTO PARA EL AÑO FISCAL 2020
INFORMACIÓN PARA LA COMISIÓN DE PRESUPUESTO Y CUENTA GENERAL DE LA REPÚBLICA DEL CONGRESO DE LA REPÚBLICA</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Hoja30">
    <tabColor theme="9" tint="-0.249977111117893"/>
    <pageSetUpPr fitToPage="1"/>
  </sheetPr>
  <dimension ref="A1:Y30"/>
  <sheetViews>
    <sheetView view="pageLayout" topLeftCell="A14" zoomScaleNormal="100" zoomScaleSheetLayoutView="100" workbookViewId="0">
      <selection activeCell="A36" sqref="A36"/>
    </sheetView>
  </sheetViews>
  <sheetFormatPr baseColWidth="10" defaultColWidth="11.42578125" defaultRowHeight="12" x14ac:dyDescent="0.2"/>
  <cols>
    <col min="1" max="1" width="45.7109375" style="3" customWidth="1"/>
    <col min="2" max="3" width="20.28515625" style="3" customWidth="1"/>
    <col min="4" max="9" width="17.7109375" style="3" customWidth="1"/>
    <col min="10" max="10" width="36.42578125" style="3" customWidth="1"/>
    <col min="11" max="16384" width="11.42578125" style="3"/>
  </cols>
  <sheetData>
    <row r="1" spans="1:25" ht="15.75" customHeight="1" x14ac:dyDescent="0.2">
      <c r="A1" s="2" t="s">
        <v>462</v>
      </c>
      <c r="B1" s="2"/>
      <c r="C1" s="2"/>
      <c r="D1" s="2"/>
      <c r="E1" s="2"/>
      <c r="F1" s="2"/>
      <c r="G1" s="2"/>
      <c r="H1" s="2"/>
      <c r="I1" s="2"/>
      <c r="J1" s="2"/>
    </row>
    <row r="2" spans="1:25" x14ac:dyDescent="0.2">
      <c r="A2" s="2" t="s">
        <v>182</v>
      </c>
      <c r="B2" s="2"/>
      <c r="C2" s="2"/>
      <c r="D2" s="2"/>
      <c r="E2" s="2"/>
      <c r="F2" s="2"/>
      <c r="G2" s="2"/>
      <c r="H2" s="2"/>
      <c r="I2" s="2"/>
      <c r="J2" s="2"/>
      <c r="K2" s="2"/>
      <c r="L2" s="2"/>
      <c r="M2" s="2"/>
      <c r="N2" s="2"/>
      <c r="O2" s="2"/>
      <c r="P2" s="2"/>
      <c r="Q2" s="2"/>
      <c r="R2" s="2"/>
      <c r="S2" s="2"/>
      <c r="T2" s="2"/>
      <c r="U2" s="2"/>
      <c r="V2" s="2"/>
      <c r="W2" s="2"/>
      <c r="X2" s="2"/>
      <c r="Y2" s="2"/>
    </row>
    <row r="3" spans="1:25" ht="14.25" customHeight="1" thickBot="1" x14ac:dyDescent="0.25">
      <c r="A3" s="5"/>
      <c r="B3" s="5"/>
      <c r="C3" s="5"/>
      <c r="D3" s="5"/>
      <c r="E3" s="5"/>
      <c r="F3" s="5"/>
      <c r="G3" s="15"/>
    </row>
    <row r="4" spans="1:25" ht="13.5" hidden="1" customHeight="1" x14ac:dyDescent="0.2">
      <c r="A4" s="55" t="s">
        <v>98</v>
      </c>
      <c r="B4" s="58"/>
      <c r="C4" s="58"/>
      <c r="D4" s="23"/>
      <c r="E4" s="23"/>
      <c r="F4" s="23"/>
      <c r="G4" s="23" t="s">
        <v>43</v>
      </c>
      <c r="H4" s="23" t="s">
        <v>99</v>
      </c>
      <c r="I4" s="44"/>
      <c r="J4" s="44"/>
    </row>
    <row r="5" spans="1:25" ht="36.75" thickBot="1" x14ac:dyDescent="0.25">
      <c r="A5" s="479" t="s">
        <v>104</v>
      </c>
      <c r="B5" s="164" t="s">
        <v>103</v>
      </c>
      <c r="C5" s="164" t="s">
        <v>222</v>
      </c>
      <c r="D5" s="163" t="s">
        <v>223</v>
      </c>
      <c r="E5" s="163" t="s">
        <v>2</v>
      </c>
      <c r="F5" s="163" t="s">
        <v>221</v>
      </c>
      <c r="G5" s="164" t="s">
        <v>106</v>
      </c>
      <c r="H5" s="163" t="s">
        <v>183</v>
      </c>
      <c r="I5" s="163" t="s">
        <v>188</v>
      </c>
      <c r="J5" s="163" t="s">
        <v>105</v>
      </c>
    </row>
    <row r="6" spans="1:25" ht="89.25" x14ac:dyDescent="0.2">
      <c r="A6" s="504" t="s">
        <v>895</v>
      </c>
      <c r="B6" s="505" t="s">
        <v>896</v>
      </c>
      <c r="C6" s="40" t="s">
        <v>897</v>
      </c>
      <c r="D6" s="506" t="s">
        <v>898</v>
      </c>
      <c r="E6" s="507" t="s">
        <v>899</v>
      </c>
      <c r="F6" s="508" t="s">
        <v>900</v>
      </c>
      <c r="G6" s="38" t="s">
        <v>160</v>
      </c>
      <c r="H6" s="509">
        <v>43984</v>
      </c>
      <c r="I6" s="510">
        <v>43994</v>
      </c>
      <c r="J6" s="38" t="s">
        <v>901</v>
      </c>
    </row>
    <row r="7" spans="1:25" ht="72" x14ac:dyDescent="0.2">
      <c r="A7" s="511" t="s">
        <v>902</v>
      </c>
      <c r="B7" s="505" t="s">
        <v>896</v>
      </c>
      <c r="C7" s="40" t="s">
        <v>897</v>
      </c>
      <c r="D7" s="506" t="s">
        <v>903</v>
      </c>
      <c r="E7" s="507">
        <v>111500</v>
      </c>
      <c r="F7" s="508" t="s">
        <v>900</v>
      </c>
      <c r="G7" s="38" t="s">
        <v>160</v>
      </c>
      <c r="H7" s="510">
        <v>44111</v>
      </c>
      <c r="I7" s="510">
        <v>44111</v>
      </c>
      <c r="J7" s="38" t="s">
        <v>901</v>
      </c>
    </row>
    <row r="8" spans="1:25" ht="60" x14ac:dyDescent="0.2">
      <c r="A8" s="511" t="s">
        <v>904</v>
      </c>
      <c r="B8" s="512" t="s">
        <v>905</v>
      </c>
      <c r="C8" s="40" t="s">
        <v>897</v>
      </c>
      <c r="D8" s="506" t="s">
        <v>906</v>
      </c>
      <c r="E8" s="507">
        <v>42250</v>
      </c>
      <c r="F8" s="508" t="s">
        <v>907</v>
      </c>
      <c r="G8" s="38" t="s">
        <v>160</v>
      </c>
      <c r="H8" s="510">
        <v>43875</v>
      </c>
      <c r="I8" s="510">
        <v>43886</v>
      </c>
      <c r="J8" s="38" t="s">
        <v>901</v>
      </c>
    </row>
    <row r="9" spans="1:25" ht="84" x14ac:dyDescent="0.2">
      <c r="A9" s="511" t="s">
        <v>908</v>
      </c>
      <c r="B9" s="505" t="s">
        <v>896</v>
      </c>
      <c r="C9" s="40" t="s">
        <v>897</v>
      </c>
      <c r="D9" s="506" t="s">
        <v>909</v>
      </c>
      <c r="E9" s="507">
        <v>218310</v>
      </c>
      <c r="F9" s="508" t="s">
        <v>900</v>
      </c>
      <c r="G9" s="38" t="s">
        <v>160</v>
      </c>
      <c r="H9" s="510">
        <v>43997</v>
      </c>
      <c r="I9" s="510">
        <v>44158</v>
      </c>
      <c r="J9" s="38" t="s">
        <v>901</v>
      </c>
    </row>
    <row r="10" spans="1:25" ht="84" x14ac:dyDescent="0.2">
      <c r="A10" s="511" t="s">
        <v>910</v>
      </c>
      <c r="B10" s="512" t="s">
        <v>905</v>
      </c>
      <c r="C10" s="40" t="s">
        <v>897</v>
      </c>
      <c r="D10" s="506" t="s">
        <v>903</v>
      </c>
      <c r="E10" s="507">
        <v>50799</v>
      </c>
      <c r="F10" s="508" t="s">
        <v>911</v>
      </c>
      <c r="G10" s="38" t="s">
        <v>160</v>
      </c>
      <c r="H10" s="510">
        <v>44102</v>
      </c>
      <c r="I10" s="510">
        <v>44147</v>
      </c>
      <c r="J10" s="38" t="s">
        <v>901</v>
      </c>
    </row>
    <row r="11" spans="1:25" ht="96" x14ac:dyDescent="0.2">
      <c r="A11" s="511" t="s">
        <v>912</v>
      </c>
      <c r="B11" s="505" t="s">
        <v>896</v>
      </c>
      <c r="C11" s="40" t="s">
        <v>897</v>
      </c>
      <c r="D11" s="506" t="s">
        <v>913</v>
      </c>
      <c r="E11" s="507">
        <v>242634</v>
      </c>
      <c r="F11" s="508" t="s">
        <v>914</v>
      </c>
      <c r="G11" s="38" t="s">
        <v>160</v>
      </c>
      <c r="H11" s="510">
        <v>44102</v>
      </c>
      <c r="I11" s="510">
        <v>44142</v>
      </c>
      <c r="J11" s="38" t="s">
        <v>901</v>
      </c>
    </row>
    <row r="12" spans="1:25" ht="60" x14ac:dyDescent="0.2">
      <c r="A12" s="511" t="s">
        <v>915</v>
      </c>
      <c r="B12" s="505" t="s">
        <v>896</v>
      </c>
      <c r="C12" s="40" t="s">
        <v>897</v>
      </c>
      <c r="D12" s="506" t="s">
        <v>916</v>
      </c>
      <c r="E12" s="507">
        <v>648375</v>
      </c>
      <c r="F12" s="508" t="s">
        <v>900</v>
      </c>
      <c r="G12" s="38" t="s">
        <v>160</v>
      </c>
      <c r="H12" s="510">
        <v>44029</v>
      </c>
      <c r="I12" s="510">
        <v>44223</v>
      </c>
      <c r="J12" s="38" t="s">
        <v>917</v>
      </c>
    </row>
    <row r="13" spans="1:25" ht="60" x14ac:dyDescent="0.2">
      <c r="A13" s="511" t="s">
        <v>918</v>
      </c>
      <c r="B13" s="505" t="s">
        <v>896</v>
      </c>
      <c r="C13" s="40" t="s">
        <v>897</v>
      </c>
      <c r="D13" s="506" t="s">
        <v>919</v>
      </c>
      <c r="E13" s="507">
        <v>828000</v>
      </c>
      <c r="F13" s="508" t="s">
        <v>920</v>
      </c>
      <c r="G13" s="38" t="s">
        <v>160</v>
      </c>
      <c r="H13" s="510">
        <v>44111</v>
      </c>
      <c r="I13" s="510">
        <v>44211</v>
      </c>
      <c r="J13" s="38" t="s">
        <v>917</v>
      </c>
    </row>
    <row r="14" spans="1:25" ht="60" x14ac:dyDescent="0.2">
      <c r="A14" s="511" t="s">
        <v>921</v>
      </c>
      <c r="B14" s="505" t="s">
        <v>896</v>
      </c>
      <c r="C14" s="40" t="s">
        <v>897</v>
      </c>
      <c r="D14" s="506" t="s">
        <v>922</v>
      </c>
      <c r="E14" s="507">
        <v>365600</v>
      </c>
      <c r="F14" s="508" t="s">
        <v>914</v>
      </c>
      <c r="G14" s="38" t="s">
        <v>160</v>
      </c>
      <c r="H14" s="510">
        <v>43992</v>
      </c>
      <c r="I14" s="510">
        <v>44193</v>
      </c>
      <c r="J14" s="38" t="s">
        <v>917</v>
      </c>
    </row>
    <row r="15" spans="1:25" ht="96" x14ac:dyDescent="0.2">
      <c r="A15" s="511" t="s">
        <v>923</v>
      </c>
      <c r="B15" s="505" t="s">
        <v>896</v>
      </c>
      <c r="C15" s="40" t="s">
        <v>897</v>
      </c>
      <c r="D15" s="506" t="s">
        <v>924</v>
      </c>
      <c r="E15" s="507">
        <v>300000</v>
      </c>
      <c r="F15" s="508" t="s">
        <v>925</v>
      </c>
      <c r="G15" s="38" t="s">
        <v>160</v>
      </c>
      <c r="H15" s="510">
        <v>43971</v>
      </c>
      <c r="I15" s="510">
        <v>44165</v>
      </c>
      <c r="J15" s="38" t="s">
        <v>917</v>
      </c>
    </row>
    <row r="16" spans="1:25" ht="72" x14ac:dyDescent="0.2">
      <c r="A16" s="511" t="s">
        <v>926</v>
      </c>
      <c r="B16" s="505" t="s">
        <v>896</v>
      </c>
      <c r="C16" s="40" t="s">
        <v>897</v>
      </c>
      <c r="D16" s="506" t="s">
        <v>927</v>
      </c>
      <c r="E16" s="507">
        <v>530398</v>
      </c>
      <c r="F16" s="508" t="s">
        <v>914</v>
      </c>
      <c r="G16" s="38" t="s">
        <v>160</v>
      </c>
      <c r="H16" s="510">
        <v>43992</v>
      </c>
      <c r="I16" s="510">
        <v>44185</v>
      </c>
      <c r="J16" s="38" t="s">
        <v>917</v>
      </c>
    </row>
    <row r="17" spans="1:10" ht="60" x14ac:dyDescent="0.2">
      <c r="A17" s="511" t="s">
        <v>928</v>
      </c>
      <c r="B17" s="512" t="s">
        <v>929</v>
      </c>
      <c r="C17" s="40" t="s">
        <v>897</v>
      </c>
      <c r="D17" s="506" t="s">
        <v>903</v>
      </c>
      <c r="E17" s="507">
        <v>90727</v>
      </c>
      <c r="F17" s="508" t="s">
        <v>930</v>
      </c>
      <c r="G17" s="38" t="s">
        <v>160</v>
      </c>
      <c r="H17" s="510">
        <v>43942</v>
      </c>
      <c r="I17" s="510">
        <v>43946</v>
      </c>
      <c r="J17" s="38" t="s">
        <v>917</v>
      </c>
    </row>
    <row r="18" spans="1:10" ht="72" x14ac:dyDescent="0.2">
      <c r="A18" s="511" t="s">
        <v>931</v>
      </c>
      <c r="B18" s="512" t="s">
        <v>929</v>
      </c>
      <c r="C18" s="40" t="s">
        <v>897</v>
      </c>
      <c r="D18" s="506" t="s">
        <v>932</v>
      </c>
      <c r="E18" s="507">
        <v>67284</v>
      </c>
      <c r="F18" s="508" t="s">
        <v>933</v>
      </c>
      <c r="G18" s="38" t="s">
        <v>160</v>
      </c>
      <c r="H18" s="510">
        <v>44008</v>
      </c>
      <c r="I18" s="510">
        <v>43987</v>
      </c>
      <c r="J18" s="38" t="s">
        <v>934</v>
      </c>
    </row>
    <row r="19" spans="1:10" ht="72" x14ac:dyDescent="0.2">
      <c r="A19" s="511" t="s">
        <v>935</v>
      </c>
      <c r="B19" s="512" t="s">
        <v>929</v>
      </c>
      <c r="C19" s="40" t="s">
        <v>897</v>
      </c>
      <c r="D19" s="506" t="s">
        <v>936</v>
      </c>
      <c r="E19" s="507">
        <v>37380</v>
      </c>
      <c r="F19" s="508" t="s">
        <v>937</v>
      </c>
      <c r="G19" s="38" t="s">
        <v>160</v>
      </c>
      <c r="H19" s="510">
        <v>44008</v>
      </c>
      <c r="I19" s="510">
        <v>43987</v>
      </c>
      <c r="J19" s="38" t="s">
        <v>934</v>
      </c>
    </row>
    <row r="20" spans="1:10" ht="72" x14ac:dyDescent="0.2">
      <c r="A20" s="511" t="s">
        <v>938</v>
      </c>
      <c r="B20" s="512" t="s">
        <v>929</v>
      </c>
      <c r="C20" s="40" t="s">
        <v>897</v>
      </c>
      <c r="D20" s="506" t="s">
        <v>939</v>
      </c>
      <c r="E20" s="507">
        <v>35280</v>
      </c>
      <c r="F20" s="508" t="s">
        <v>937</v>
      </c>
      <c r="G20" s="38" t="s">
        <v>160</v>
      </c>
      <c r="H20" s="510">
        <v>44008</v>
      </c>
      <c r="I20" s="510">
        <v>43987</v>
      </c>
      <c r="J20" s="38" t="s">
        <v>934</v>
      </c>
    </row>
    <row r="21" spans="1:10" ht="72" x14ac:dyDescent="0.2">
      <c r="A21" s="511" t="s">
        <v>940</v>
      </c>
      <c r="B21" s="512" t="s">
        <v>929</v>
      </c>
      <c r="C21" s="40" t="s">
        <v>897</v>
      </c>
      <c r="D21" s="506" t="s">
        <v>916</v>
      </c>
      <c r="E21" s="507">
        <v>65772</v>
      </c>
      <c r="F21" s="508" t="s">
        <v>933</v>
      </c>
      <c r="G21" s="38"/>
      <c r="H21" s="510">
        <v>44008</v>
      </c>
      <c r="I21" s="510">
        <v>43987</v>
      </c>
      <c r="J21" s="38" t="s">
        <v>934</v>
      </c>
    </row>
    <row r="22" spans="1:10" x14ac:dyDescent="0.2">
      <c r="A22" s="511"/>
      <c r="B22" s="512"/>
      <c r="C22" s="40"/>
      <c r="D22" s="506"/>
      <c r="E22" s="507"/>
      <c r="F22" s="508"/>
      <c r="G22" s="38"/>
      <c r="H22" s="29"/>
      <c r="I22" s="29"/>
      <c r="J22" s="38"/>
    </row>
    <row r="23" spans="1:10" x14ac:dyDescent="0.2">
      <c r="A23" s="511"/>
      <c r="B23" s="512"/>
      <c r="C23" s="40"/>
      <c r="D23" s="506"/>
      <c r="E23" s="507"/>
      <c r="F23" s="508"/>
      <c r="G23" s="38"/>
      <c r="H23" s="29"/>
      <c r="I23" s="29"/>
      <c r="J23" s="38"/>
    </row>
    <row r="24" spans="1:10" ht="12.75" thickBot="1" x14ac:dyDescent="0.25">
      <c r="A24" s="513"/>
      <c r="B24" s="57"/>
      <c r="C24" s="24"/>
      <c r="D24" s="514"/>
      <c r="E24" s="515"/>
      <c r="F24" s="516"/>
      <c r="G24" s="38"/>
      <c r="H24" s="29"/>
      <c r="I24" s="29"/>
      <c r="J24" s="38"/>
    </row>
    <row r="25" spans="1:10" ht="12.75" thickBot="1" x14ac:dyDescent="0.25">
      <c r="A25" s="74" t="s">
        <v>0</v>
      </c>
      <c r="B25" s="43"/>
      <c r="C25" s="31"/>
      <c r="D25" s="73"/>
      <c r="E25" s="517">
        <f>SUM(E7:E24)</f>
        <v>3634309</v>
      </c>
      <c r="F25" s="72"/>
      <c r="G25" s="39"/>
      <c r="H25" s="36"/>
      <c r="I25" s="36"/>
      <c r="J25" s="39"/>
    </row>
    <row r="26" spans="1:10" x14ac:dyDescent="0.2">
      <c r="A26" s="22"/>
      <c r="B26" s="22"/>
      <c r="C26" s="22"/>
      <c r="D26" s="22"/>
      <c r="E26" s="22"/>
      <c r="F26" s="22"/>
      <c r="G26" s="2"/>
    </row>
    <row r="27" spans="1:10" x14ac:dyDescent="0.2">
      <c r="A27" s="16"/>
      <c r="B27" s="16"/>
      <c r="C27" s="16"/>
      <c r="D27" s="16"/>
      <c r="E27" s="16"/>
      <c r="F27" s="16"/>
      <c r="G27" s="2"/>
    </row>
    <row r="28" spans="1:10" x14ac:dyDescent="0.2">
      <c r="A28" s="16"/>
    </row>
    <row r="29" spans="1:10" x14ac:dyDescent="0.2">
      <c r="A29" s="16"/>
    </row>
    <row r="30" spans="1:10" x14ac:dyDescent="0.2">
      <c r="A30" s="16"/>
    </row>
  </sheetData>
  <phoneticPr fontId="11" type="noConversion"/>
  <printOptions horizontalCentered="1"/>
  <pageMargins left="0.25" right="0.25" top="0.75" bottom="0.75" header="0.3" footer="0.3"/>
  <pageSetup paperSize="9" scale="38" orientation="landscape" r:id="rId1"/>
  <headerFooter alignWithMargins="0">
    <oddHeader>&amp;C&amp;"Arial,Negrita"&amp;18PROYECTO DE PRESUPUESTO 2021</oddHeader>
    <oddFooter>&amp;L&amp;"Arial,Negrita"&amp;8PROYECTO DE PRESUPUESTO PARA EL AÑO FISCAL 2020
INFORMACIÓN PARA LA COMISIÓN DE PRESUPUESTO Y CUENTA GENERAL DE LA REPÚBLICA DEL CONGRESO DE LA REPÚBLICA</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Hoja31">
    <tabColor theme="9" tint="-0.249977111117893"/>
    <pageSetUpPr fitToPage="1"/>
  </sheetPr>
  <dimension ref="A1:W54"/>
  <sheetViews>
    <sheetView showWhiteSpace="0" view="pageLayout" zoomScale="85" zoomScaleNormal="100" zoomScaleSheetLayoutView="100" zoomScalePageLayoutView="85" workbookViewId="0">
      <selection activeCell="G13" sqref="G13"/>
    </sheetView>
  </sheetViews>
  <sheetFormatPr baseColWidth="10" defaultColWidth="11.42578125" defaultRowHeight="12" x14ac:dyDescent="0.2"/>
  <cols>
    <col min="1" max="1" width="35.7109375" style="3" customWidth="1"/>
    <col min="2" max="2" width="30.7109375" style="3" customWidth="1"/>
    <col min="3" max="3" width="31.140625" style="3" customWidth="1"/>
    <col min="4" max="4" width="23.28515625" style="3" customWidth="1"/>
    <col min="5" max="5" width="22.28515625" style="3" customWidth="1"/>
    <col min="6" max="6" width="32.85546875" style="3" customWidth="1"/>
    <col min="7" max="7" width="39.5703125" style="3" customWidth="1"/>
    <col min="8" max="8" width="23.5703125" style="3" customWidth="1"/>
    <col min="9" max="16384" width="11.42578125" style="3"/>
  </cols>
  <sheetData>
    <row r="1" spans="1:23" x14ac:dyDescent="0.2">
      <c r="A1" s="2" t="s">
        <v>463</v>
      </c>
      <c r="B1" s="2"/>
      <c r="C1" s="2"/>
      <c r="D1" s="2"/>
      <c r="E1" s="2"/>
      <c r="F1" s="2"/>
      <c r="G1" s="2"/>
    </row>
    <row r="2" spans="1:23" x14ac:dyDescent="0.2">
      <c r="A2" s="2" t="s">
        <v>373</v>
      </c>
      <c r="B2" s="2"/>
      <c r="C2" s="2"/>
      <c r="D2" s="2"/>
      <c r="E2" s="2"/>
      <c r="F2" s="2"/>
      <c r="G2" s="2"/>
      <c r="H2" s="2"/>
      <c r="I2" s="2"/>
      <c r="J2" s="2"/>
      <c r="K2" s="2"/>
      <c r="L2" s="2"/>
      <c r="M2" s="2"/>
      <c r="N2" s="2"/>
      <c r="O2" s="2"/>
      <c r="P2" s="2"/>
      <c r="Q2" s="2"/>
      <c r="R2" s="2"/>
      <c r="S2" s="2"/>
      <c r="T2" s="2"/>
      <c r="U2" s="2"/>
      <c r="V2" s="2"/>
      <c r="W2" s="2"/>
    </row>
    <row r="3" spans="1:23" ht="12.75" thickBot="1" x14ac:dyDescent="0.25">
      <c r="A3" s="5"/>
      <c r="B3" s="5"/>
      <c r="C3" s="5"/>
      <c r="D3" s="15"/>
      <c r="E3" s="15"/>
      <c r="F3" s="15"/>
    </row>
    <row r="4" spans="1:23" ht="12.75" thickBot="1" x14ac:dyDescent="0.25">
      <c r="A4" s="644" t="s">
        <v>45</v>
      </c>
      <c r="B4" s="641" t="s">
        <v>390</v>
      </c>
      <c r="C4" s="641" t="s">
        <v>391</v>
      </c>
      <c r="D4" s="485" t="s">
        <v>846</v>
      </c>
      <c r="E4" s="485" t="s">
        <v>491</v>
      </c>
      <c r="F4" s="486" t="s">
        <v>492</v>
      </c>
      <c r="G4" s="641" t="s">
        <v>60</v>
      </c>
      <c r="H4" s="641" t="s">
        <v>140</v>
      </c>
    </row>
    <row r="5" spans="1:23" ht="12.75" customHeight="1" thickBot="1" x14ac:dyDescent="0.25">
      <c r="A5" s="645"/>
      <c r="B5" s="642"/>
      <c r="C5" s="642"/>
      <c r="D5" s="487" t="s">
        <v>388</v>
      </c>
      <c r="E5" s="487" t="s">
        <v>388</v>
      </c>
      <c r="F5" s="487" t="s">
        <v>388</v>
      </c>
      <c r="G5" s="643"/>
      <c r="H5" s="643"/>
    </row>
    <row r="6" spans="1:23" ht="12" customHeight="1" x14ac:dyDescent="0.2">
      <c r="A6" s="488" t="s">
        <v>847</v>
      </c>
      <c r="B6" s="489">
        <v>20602732054</v>
      </c>
      <c r="C6" s="490"/>
      <c r="D6" s="491">
        <v>1056.3800000000001</v>
      </c>
      <c r="E6" s="492"/>
      <c r="F6" s="493"/>
      <c r="G6" s="494"/>
      <c r="H6" s="494"/>
    </row>
    <row r="7" spans="1:23" ht="33.75" x14ac:dyDescent="0.2">
      <c r="A7" s="488" t="s">
        <v>848</v>
      </c>
      <c r="B7" s="489">
        <v>20602732054</v>
      </c>
      <c r="C7" s="490"/>
      <c r="D7" s="495">
        <v>8451.01</v>
      </c>
      <c r="E7" s="492"/>
      <c r="F7" s="493"/>
      <c r="G7" s="494"/>
      <c r="H7" s="494"/>
    </row>
    <row r="8" spans="1:23" ht="56.25" x14ac:dyDescent="0.2">
      <c r="A8" s="488" t="s">
        <v>849</v>
      </c>
      <c r="B8" s="489"/>
      <c r="C8" s="490">
        <v>10077134200</v>
      </c>
      <c r="D8" s="495">
        <v>15000</v>
      </c>
      <c r="E8" s="492"/>
      <c r="F8" s="493"/>
      <c r="G8" s="494"/>
      <c r="H8" s="494"/>
    </row>
    <row r="9" spans="1:23" ht="45" x14ac:dyDescent="0.2">
      <c r="A9" s="488" t="s">
        <v>850</v>
      </c>
      <c r="B9" s="489"/>
      <c r="C9" s="490">
        <v>10403291124</v>
      </c>
      <c r="D9" s="495">
        <v>10000</v>
      </c>
      <c r="E9" s="492"/>
      <c r="F9" s="493"/>
      <c r="G9" s="494"/>
      <c r="H9" s="494"/>
    </row>
    <row r="10" spans="1:23" ht="45" x14ac:dyDescent="0.2">
      <c r="A10" s="488" t="s">
        <v>851</v>
      </c>
      <c r="B10" s="489"/>
      <c r="C10" s="490">
        <v>10085386111</v>
      </c>
      <c r="D10" s="495">
        <v>10000</v>
      </c>
      <c r="E10" s="492"/>
      <c r="F10" s="493"/>
      <c r="G10" s="494"/>
      <c r="H10" s="494"/>
    </row>
    <row r="11" spans="1:23" ht="45" x14ac:dyDescent="0.2">
      <c r="A11" s="488" t="s">
        <v>852</v>
      </c>
      <c r="B11" s="489"/>
      <c r="C11" s="490">
        <v>10419143443</v>
      </c>
      <c r="D11" s="495">
        <v>10000</v>
      </c>
      <c r="E11" s="492"/>
      <c r="F11" s="493"/>
      <c r="G11" s="494"/>
      <c r="H11" s="494"/>
    </row>
    <row r="12" spans="1:23" ht="45" x14ac:dyDescent="0.2">
      <c r="A12" s="488" t="s">
        <v>853</v>
      </c>
      <c r="B12" s="489"/>
      <c r="C12" s="490">
        <v>10466663684</v>
      </c>
      <c r="D12" s="495">
        <v>10000</v>
      </c>
      <c r="E12" s="492"/>
      <c r="F12" s="493"/>
      <c r="G12" s="494"/>
      <c r="H12" s="494"/>
    </row>
    <row r="13" spans="1:23" ht="45" x14ac:dyDescent="0.2">
      <c r="A13" s="488" t="s">
        <v>854</v>
      </c>
      <c r="B13" s="489"/>
      <c r="C13" s="490">
        <v>10033726738</v>
      </c>
      <c r="D13" s="495">
        <v>10000</v>
      </c>
      <c r="E13" s="492"/>
      <c r="F13" s="493"/>
      <c r="G13" s="494"/>
      <c r="H13" s="494"/>
    </row>
    <row r="14" spans="1:23" ht="33.75" x14ac:dyDescent="0.2">
      <c r="A14" s="488" t="s">
        <v>855</v>
      </c>
      <c r="B14" s="489"/>
      <c r="C14" s="490">
        <v>10406233419</v>
      </c>
      <c r="D14" s="495">
        <v>5000</v>
      </c>
      <c r="E14" s="492"/>
      <c r="F14" s="493"/>
      <c r="G14" s="494"/>
      <c r="H14" s="494"/>
    </row>
    <row r="15" spans="1:23" ht="45" x14ac:dyDescent="0.2">
      <c r="A15" s="488" t="s">
        <v>856</v>
      </c>
      <c r="B15" s="489"/>
      <c r="C15" s="490">
        <v>10459234964</v>
      </c>
      <c r="D15" s="495">
        <v>1600</v>
      </c>
      <c r="E15" s="492"/>
      <c r="F15" s="493"/>
      <c r="G15" s="494"/>
      <c r="H15" s="494"/>
    </row>
    <row r="16" spans="1:23" ht="56.25" x14ac:dyDescent="0.2">
      <c r="A16" s="488" t="s">
        <v>857</v>
      </c>
      <c r="B16" s="489">
        <v>20490031961</v>
      </c>
      <c r="C16" s="490"/>
      <c r="D16" s="495">
        <v>10773</v>
      </c>
      <c r="E16" s="492"/>
      <c r="F16" s="493"/>
      <c r="G16" s="494"/>
      <c r="H16" s="494"/>
    </row>
    <row r="17" spans="1:8" ht="56.25" x14ac:dyDescent="0.2">
      <c r="A17" s="488" t="s">
        <v>858</v>
      </c>
      <c r="B17" s="489"/>
      <c r="C17" s="490">
        <v>10466663684</v>
      </c>
      <c r="D17" s="495">
        <v>10000</v>
      </c>
      <c r="E17" s="492"/>
      <c r="F17" s="493"/>
      <c r="G17" s="494"/>
      <c r="H17" s="494"/>
    </row>
    <row r="18" spans="1:8" ht="45" x14ac:dyDescent="0.2">
      <c r="A18" s="488" t="s">
        <v>859</v>
      </c>
      <c r="B18" s="489"/>
      <c r="C18" s="490">
        <v>10459234964</v>
      </c>
      <c r="D18" s="495">
        <v>2200</v>
      </c>
      <c r="E18" s="492"/>
      <c r="F18" s="493"/>
      <c r="G18" s="494"/>
      <c r="H18" s="494"/>
    </row>
    <row r="19" spans="1:8" ht="45" x14ac:dyDescent="0.2">
      <c r="A19" s="488" t="s">
        <v>860</v>
      </c>
      <c r="B19" s="489"/>
      <c r="C19" s="490">
        <v>10771627086</v>
      </c>
      <c r="D19" s="495">
        <v>16000</v>
      </c>
      <c r="E19" s="492"/>
      <c r="F19" s="493"/>
      <c r="G19" s="494"/>
      <c r="H19" s="494"/>
    </row>
    <row r="20" spans="1:8" ht="45" x14ac:dyDescent="0.2">
      <c r="A20" s="488" t="s">
        <v>861</v>
      </c>
      <c r="B20" s="489"/>
      <c r="C20" s="490">
        <v>10446466980</v>
      </c>
      <c r="D20" s="495">
        <v>16000</v>
      </c>
      <c r="E20" s="492"/>
      <c r="F20" s="493"/>
      <c r="G20" s="494"/>
      <c r="H20" s="494"/>
    </row>
    <row r="21" spans="1:8" ht="33.75" x14ac:dyDescent="0.2">
      <c r="A21" s="488" t="s">
        <v>862</v>
      </c>
      <c r="B21" s="489"/>
      <c r="C21" s="490">
        <v>10740922179</v>
      </c>
      <c r="D21" s="495">
        <v>16000</v>
      </c>
      <c r="E21" s="492"/>
      <c r="F21" s="493"/>
      <c r="G21" s="494"/>
      <c r="H21" s="494"/>
    </row>
    <row r="22" spans="1:8" ht="33.75" x14ac:dyDescent="0.2">
      <c r="A22" s="488" t="s">
        <v>863</v>
      </c>
      <c r="B22" s="489"/>
      <c r="C22" s="490">
        <v>10410454764</v>
      </c>
      <c r="D22" s="495">
        <v>16000</v>
      </c>
      <c r="E22" s="492"/>
      <c r="F22" s="493"/>
      <c r="G22" s="494"/>
      <c r="H22" s="494"/>
    </row>
    <row r="23" spans="1:8" ht="45" x14ac:dyDescent="0.2">
      <c r="A23" s="488" t="s">
        <v>864</v>
      </c>
      <c r="B23" s="489"/>
      <c r="C23" s="490">
        <v>10457056210</v>
      </c>
      <c r="D23" s="495">
        <v>16000</v>
      </c>
      <c r="E23" s="492"/>
      <c r="F23" s="493"/>
      <c r="G23" s="494"/>
      <c r="H23" s="494"/>
    </row>
    <row r="24" spans="1:8" ht="45" x14ac:dyDescent="0.2">
      <c r="A24" s="488" t="s">
        <v>865</v>
      </c>
      <c r="B24" s="489"/>
      <c r="C24" s="490">
        <v>10407393614</v>
      </c>
      <c r="D24" s="495">
        <v>16000</v>
      </c>
      <c r="E24" s="492"/>
      <c r="F24" s="493"/>
      <c r="G24" s="494"/>
      <c r="H24" s="494"/>
    </row>
    <row r="25" spans="1:8" ht="45" x14ac:dyDescent="0.2">
      <c r="A25" s="488" t="s">
        <v>866</v>
      </c>
      <c r="B25" s="489"/>
      <c r="C25" s="490">
        <v>10450655614</v>
      </c>
      <c r="D25" s="495">
        <v>16000</v>
      </c>
      <c r="E25" s="492"/>
      <c r="F25" s="493"/>
      <c r="G25" s="494"/>
      <c r="H25" s="494"/>
    </row>
    <row r="26" spans="1:8" ht="33.75" x14ac:dyDescent="0.2">
      <c r="A26" s="488" t="s">
        <v>867</v>
      </c>
      <c r="B26" s="489"/>
      <c r="C26" s="490">
        <v>10464992516</v>
      </c>
      <c r="D26" s="495">
        <v>16000</v>
      </c>
      <c r="E26" s="492"/>
      <c r="F26" s="493"/>
      <c r="G26" s="494"/>
      <c r="H26" s="494"/>
    </row>
    <row r="27" spans="1:8" ht="45" x14ac:dyDescent="0.2">
      <c r="A27" s="488" t="s">
        <v>868</v>
      </c>
      <c r="B27" s="489"/>
      <c r="C27" s="490">
        <v>10458482689</v>
      </c>
      <c r="D27" s="495">
        <v>16000</v>
      </c>
      <c r="E27" s="492"/>
      <c r="F27" s="493"/>
      <c r="G27" s="494"/>
      <c r="H27" s="494"/>
    </row>
    <row r="28" spans="1:8" ht="45" x14ac:dyDescent="0.2">
      <c r="A28" s="488" t="s">
        <v>869</v>
      </c>
      <c r="B28" s="489"/>
      <c r="C28" s="490">
        <v>10473382968</v>
      </c>
      <c r="D28" s="495">
        <v>16000</v>
      </c>
      <c r="E28" s="492"/>
      <c r="F28" s="493"/>
      <c r="G28" s="494"/>
      <c r="H28" s="494"/>
    </row>
    <row r="29" spans="1:8" ht="45" x14ac:dyDescent="0.2">
      <c r="A29" s="488" t="s">
        <v>870</v>
      </c>
      <c r="B29" s="489"/>
      <c r="C29" s="490">
        <v>10462749452</v>
      </c>
      <c r="D29" s="495">
        <v>16000</v>
      </c>
      <c r="E29" s="492"/>
      <c r="F29" s="493"/>
      <c r="G29" s="494"/>
      <c r="H29" s="494"/>
    </row>
    <row r="30" spans="1:8" ht="45" x14ac:dyDescent="0.2">
      <c r="A30" s="488" t="s">
        <v>871</v>
      </c>
      <c r="B30" s="489"/>
      <c r="C30" s="490">
        <v>10442493567</v>
      </c>
      <c r="D30" s="495">
        <v>16000</v>
      </c>
      <c r="E30" s="492"/>
      <c r="F30" s="493"/>
      <c r="G30" s="494"/>
      <c r="H30" s="494"/>
    </row>
    <row r="31" spans="1:8" ht="45" x14ac:dyDescent="0.2">
      <c r="A31" s="488" t="s">
        <v>872</v>
      </c>
      <c r="B31" s="489"/>
      <c r="C31" s="490">
        <v>10446532257</v>
      </c>
      <c r="D31" s="495">
        <v>16000</v>
      </c>
      <c r="E31" s="492"/>
      <c r="F31" s="493"/>
      <c r="G31" s="494"/>
      <c r="H31" s="494"/>
    </row>
    <row r="32" spans="1:8" ht="45" x14ac:dyDescent="0.2">
      <c r="A32" s="488" t="s">
        <v>873</v>
      </c>
      <c r="B32" s="489"/>
      <c r="C32" s="490">
        <v>10424363176</v>
      </c>
      <c r="D32" s="495">
        <v>16000</v>
      </c>
      <c r="E32" s="492"/>
      <c r="F32" s="493"/>
      <c r="G32" s="494"/>
      <c r="H32" s="494"/>
    </row>
    <row r="33" spans="1:8" ht="45" x14ac:dyDescent="0.2">
      <c r="A33" s="488" t="s">
        <v>874</v>
      </c>
      <c r="B33" s="489"/>
      <c r="C33" s="490">
        <v>10050709529</v>
      </c>
      <c r="D33" s="495">
        <v>22500</v>
      </c>
      <c r="E33" s="492"/>
      <c r="F33" s="493"/>
      <c r="G33" s="494"/>
      <c r="H33" s="494"/>
    </row>
    <row r="34" spans="1:8" ht="33.75" x14ac:dyDescent="0.2">
      <c r="A34" s="488" t="s">
        <v>875</v>
      </c>
      <c r="B34" s="489">
        <v>20600060041</v>
      </c>
      <c r="C34" s="490"/>
      <c r="D34" s="495">
        <v>10000</v>
      </c>
      <c r="E34" s="492"/>
      <c r="F34" s="493"/>
      <c r="G34" s="494"/>
      <c r="H34" s="494"/>
    </row>
    <row r="35" spans="1:8" ht="56.25" x14ac:dyDescent="0.2">
      <c r="A35" s="488" t="s">
        <v>876</v>
      </c>
      <c r="B35" s="489"/>
      <c r="C35" s="490">
        <v>10484399081</v>
      </c>
      <c r="D35" s="495">
        <v>7500</v>
      </c>
      <c r="E35" s="492"/>
      <c r="F35" s="493"/>
      <c r="G35" s="494"/>
      <c r="H35" s="494"/>
    </row>
    <row r="36" spans="1:8" ht="22.5" x14ac:dyDescent="0.2">
      <c r="A36" s="488" t="s">
        <v>877</v>
      </c>
      <c r="B36" s="489">
        <v>20600926994</v>
      </c>
      <c r="C36" s="490"/>
      <c r="D36" s="495">
        <v>423.2</v>
      </c>
      <c r="E36" s="492"/>
      <c r="F36" s="493"/>
      <c r="G36" s="494"/>
      <c r="H36" s="494"/>
    </row>
    <row r="37" spans="1:8" ht="22.5" x14ac:dyDescent="0.2">
      <c r="A37" s="488" t="s">
        <v>878</v>
      </c>
      <c r="B37" s="489">
        <v>20600926994</v>
      </c>
      <c r="C37" s="490"/>
      <c r="D37" s="495">
        <v>5533.7</v>
      </c>
      <c r="E37" s="492"/>
      <c r="F37" s="493"/>
      <c r="G37" s="494"/>
      <c r="H37" s="494"/>
    </row>
    <row r="38" spans="1:8" ht="56.25" x14ac:dyDescent="0.2">
      <c r="A38" s="488" t="s">
        <v>879</v>
      </c>
      <c r="B38" s="489"/>
      <c r="C38" s="490">
        <v>10480871192</v>
      </c>
      <c r="D38" s="495">
        <v>28000</v>
      </c>
      <c r="E38" s="492"/>
      <c r="F38" s="493"/>
      <c r="G38" s="494"/>
      <c r="H38" s="494"/>
    </row>
    <row r="39" spans="1:8" ht="56.25" x14ac:dyDescent="0.2">
      <c r="A39" s="488" t="s">
        <v>880</v>
      </c>
      <c r="B39" s="489"/>
      <c r="C39" s="490">
        <v>10475953121</v>
      </c>
      <c r="D39" s="495">
        <v>24500</v>
      </c>
      <c r="E39" s="492"/>
      <c r="F39" s="493"/>
      <c r="G39" s="494"/>
      <c r="H39" s="494"/>
    </row>
    <row r="40" spans="1:8" ht="45" x14ac:dyDescent="0.2">
      <c r="A40" s="488" t="s">
        <v>881</v>
      </c>
      <c r="B40" s="489"/>
      <c r="C40" s="490">
        <v>10455487001</v>
      </c>
      <c r="D40" s="495">
        <v>13000</v>
      </c>
      <c r="E40" s="492"/>
      <c r="F40" s="493"/>
      <c r="G40" s="494"/>
      <c r="H40" s="494"/>
    </row>
    <row r="41" spans="1:8" ht="56.25" x14ac:dyDescent="0.2">
      <c r="A41" s="488" t="s">
        <v>882</v>
      </c>
      <c r="B41" s="489">
        <v>20393548704</v>
      </c>
      <c r="C41" s="490"/>
      <c r="D41" s="495">
        <v>11500</v>
      </c>
      <c r="E41" s="492"/>
      <c r="F41" s="493"/>
      <c r="G41" s="494"/>
      <c r="H41" s="494"/>
    </row>
    <row r="42" spans="1:8" x14ac:dyDescent="0.2">
      <c r="A42" s="496" t="s">
        <v>883</v>
      </c>
      <c r="B42" s="497">
        <v>20605121218</v>
      </c>
      <c r="C42" s="498"/>
      <c r="D42" s="499"/>
      <c r="E42" s="500">
        <v>6000</v>
      </c>
      <c r="F42" s="501"/>
      <c r="G42" s="494"/>
      <c r="H42" s="494"/>
    </row>
    <row r="43" spans="1:8" ht="33.75" x14ac:dyDescent="0.2">
      <c r="A43" s="488" t="s">
        <v>884</v>
      </c>
      <c r="B43" s="489">
        <v>20481234574</v>
      </c>
      <c r="C43" s="490"/>
      <c r="D43" s="502"/>
      <c r="E43" s="500">
        <v>18000</v>
      </c>
      <c r="F43" s="501"/>
      <c r="G43" s="494"/>
      <c r="H43" s="494"/>
    </row>
    <row r="44" spans="1:8" ht="33.75" x14ac:dyDescent="0.2">
      <c r="A44" s="488" t="s">
        <v>885</v>
      </c>
      <c r="B44" s="489"/>
      <c r="C44" s="490">
        <v>10067780065</v>
      </c>
      <c r="D44" s="502"/>
      <c r="E44" s="500">
        <v>4000</v>
      </c>
      <c r="F44" s="501"/>
      <c r="G44" s="494"/>
      <c r="H44" s="494"/>
    </row>
    <row r="45" spans="1:8" ht="33.75" x14ac:dyDescent="0.2">
      <c r="A45" s="488" t="s">
        <v>886</v>
      </c>
      <c r="B45" s="489"/>
      <c r="C45" s="490">
        <v>10407393614</v>
      </c>
      <c r="D45" s="502"/>
      <c r="E45" s="500">
        <v>4000</v>
      </c>
      <c r="F45" s="501"/>
      <c r="G45" s="494"/>
      <c r="H45" s="494"/>
    </row>
    <row r="46" spans="1:8" ht="22.5" x14ac:dyDescent="0.2">
      <c r="A46" s="488" t="s">
        <v>887</v>
      </c>
      <c r="B46" s="489"/>
      <c r="C46" s="490">
        <v>10062941915</v>
      </c>
      <c r="D46" s="502"/>
      <c r="E46" s="500">
        <v>7000</v>
      </c>
      <c r="F46" s="501"/>
      <c r="G46" s="494"/>
      <c r="H46" s="494"/>
    </row>
    <row r="47" spans="1:8" ht="22.5" x14ac:dyDescent="0.2">
      <c r="A47" s="488" t="s">
        <v>888</v>
      </c>
      <c r="B47" s="489"/>
      <c r="C47" s="490">
        <v>10296641826</v>
      </c>
      <c r="D47" s="502"/>
      <c r="E47" s="500">
        <v>9000</v>
      </c>
      <c r="F47" s="501"/>
      <c r="G47" s="494"/>
      <c r="H47" s="494"/>
    </row>
    <row r="48" spans="1:8" ht="22.5" x14ac:dyDescent="0.2">
      <c r="A48" s="488" t="s">
        <v>889</v>
      </c>
      <c r="B48" s="489"/>
      <c r="C48" s="490">
        <v>10440495015</v>
      </c>
      <c r="D48" s="502"/>
      <c r="E48" s="500">
        <v>20000</v>
      </c>
      <c r="F48" s="501"/>
      <c r="G48" s="494"/>
      <c r="H48" s="494"/>
    </row>
    <row r="49" spans="1:8" ht="33.75" x14ac:dyDescent="0.2">
      <c r="A49" s="488" t="s">
        <v>890</v>
      </c>
      <c r="B49" s="489">
        <v>20392453882</v>
      </c>
      <c r="C49" s="490"/>
      <c r="D49" s="502"/>
      <c r="E49" s="500">
        <v>32000</v>
      </c>
      <c r="F49" s="501"/>
      <c r="G49" s="494"/>
      <c r="H49" s="494"/>
    </row>
    <row r="50" spans="1:8" ht="22.5" x14ac:dyDescent="0.2">
      <c r="A50" s="488" t="s">
        <v>891</v>
      </c>
      <c r="B50" s="489"/>
      <c r="C50" s="490">
        <v>10440495015</v>
      </c>
      <c r="D50" s="502"/>
      <c r="E50" s="500">
        <v>5000</v>
      </c>
      <c r="F50" s="501"/>
      <c r="G50" s="494"/>
      <c r="H50" s="494"/>
    </row>
    <row r="51" spans="1:8" ht="22.5" x14ac:dyDescent="0.2">
      <c r="A51" s="488" t="s">
        <v>892</v>
      </c>
      <c r="B51" s="489"/>
      <c r="C51" s="490">
        <v>10476607227</v>
      </c>
      <c r="D51" s="502"/>
      <c r="E51" s="500">
        <v>18000</v>
      </c>
      <c r="F51" s="501"/>
      <c r="G51" s="494"/>
      <c r="H51" s="494"/>
    </row>
    <row r="52" spans="1:8" ht="33.75" x14ac:dyDescent="0.2">
      <c r="A52" s="488" t="s">
        <v>893</v>
      </c>
      <c r="B52" s="489"/>
      <c r="C52" s="490">
        <v>10407818411</v>
      </c>
      <c r="D52" s="502"/>
      <c r="E52" s="500">
        <v>6500</v>
      </c>
      <c r="F52" s="501"/>
      <c r="G52" s="494"/>
      <c r="H52" s="494"/>
    </row>
    <row r="53" spans="1:8" ht="23.25" thickBot="1" x14ac:dyDescent="0.25">
      <c r="A53" s="488" t="s">
        <v>894</v>
      </c>
      <c r="B53" s="489">
        <v>20601043972</v>
      </c>
      <c r="C53" s="490"/>
      <c r="D53" s="503"/>
      <c r="E53" s="500">
        <v>29000</v>
      </c>
      <c r="F53" s="501"/>
      <c r="G53" s="494"/>
      <c r="H53" s="494"/>
    </row>
    <row r="54" spans="1:8" ht="12.75" thickBot="1" x14ac:dyDescent="0.25">
      <c r="A54" s="74" t="s">
        <v>46</v>
      </c>
      <c r="B54" s="43"/>
      <c r="C54" s="43"/>
      <c r="D54" s="32"/>
      <c r="E54" s="35"/>
      <c r="F54" s="222"/>
      <c r="G54" s="37"/>
      <c r="H54" s="37"/>
    </row>
  </sheetData>
  <mergeCells count="5">
    <mergeCell ref="B4:B5"/>
    <mergeCell ref="H4:H5"/>
    <mergeCell ref="A4:A5"/>
    <mergeCell ref="G4:G5"/>
    <mergeCell ref="C4:C5"/>
  </mergeCells>
  <phoneticPr fontId="0" type="noConversion"/>
  <printOptions horizontalCentered="1"/>
  <pageMargins left="0.25" right="0.29950980392156862" top="0.75" bottom="0.75" header="0.3" footer="0.3"/>
  <pageSetup paperSize="9" scale="26" orientation="landscape" r:id="rId1"/>
  <headerFooter alignWithMargins="0">
    <oddHeader>&amp;C&amp;"Arial,Negrita"&amp;18PROYECTO DE PRESUPUESTO 2021</oddHeader>
    <oddFooter>&amp;L&amp;"Arial,Negrita"&amp;8PROYECTO DE PRESUPUESTO PARA EL AÑO FISCAL 2020
INFORMACIÓN PARA LA COMISIÓN DE PRESUPUESTO Y CUENTA GENERAL DE LA REPÚBLICA DEL CONGRESO DE LA REPÚBLICA</oddFooter>
  </headerFooter>
  <colBreaks count="1" manualBreakCount="1">
    <brk id="8" max="1048575" man="1"/>
  </col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Hoja11">
    <tabColor theme="9" tint="-0.249977111117893"/>
    <pageSetUpPr fitToPage="1"/>
  </sheetPr>
  <dimension ref="A1:V29"/>
  <sheetViews>
    <sheetView showWhiteSpace="0" view="pageLayout" zoomScale="85" zoomScaleNormal="100" zoomScaleSheetLayoutView="100" zoomScalePageLayoutView="85" workbookViewId="0">
      <selection activeCell="C38" sqref="C38"/>
    </sheetView>
  </sheetViews>
  <sheetFormatPr baseColWidth="10" defaultColWidth="11.42578125" defaultRowHeight="12" x14ac:dyDescent="0.2"/>
  <cols>
    <col min="1" max="1" width="42" style="223" bestFit="1" customWidth="1"/>
    <col min="2" max="2" width="23.5703125" style="223" customWidth="1"/>
    <col min="3" max="3" width="35.42578125" style="223" customWidth="1"/>
    <col min="4" max="6" width="15.5703125" style="223" customWidth="1"/>
    <col min="7" max="7" width="16.140625" style="223" bestFit="1" customWidth="1"/>
    <col min="8" max="8" width="17.7109375" style="223" customWidth="1"/>
    <col min="9" max="16384" width="11.42578125" style="223"/>
  </cols>
  <sheetData>
    <row r="1" spans="1:22" s="237" customFormat="1" ht="15.75" x14ac:dyDescent="0.25">
      <c r="A1" s="238" t="s">
        <v>464</v>
      </c>
    </row>
    <row r="2" spans="1:22" s="236" customFormat="1" ht="15.75" x14ac:dyDescent="0.2">
      <c r="A2" s="2" t="s">
        <v>373</v>
      </c>
      <c r="B2" s="104"/>
      <c r="C2" s="104"/>
      <c r="D2" s="104"/>
      <c r="E2" s="104"/>
      <c r="F2" s="104"/>
      <c r="G2" s="104"/>
      <c r="H2" s="104"/>
      <c r="I2" s="104"/>
      <c r="J2" s="104"/>
      <c r="K2" s="104"/>
      <c r="L2" s="104"/>
      <c r="M2" s="104"/>
      <c r="N2" s="104"/>
      <c r="O2" s="104"/>
      <c r="P2" s="104"/>
      <c r="Q2" s="104"/>
      <c r="R2" s="104"/>
      <c r="S2" s="104"/>
      <c r="T2" s="104"/>
      <c r="U2" s="104"/>
      <c r="V2" s="104"/>
    </row>
    <row r="3" spans="1:22" ht="12.75" thickBot="1" x14ac:dyDescent="0.25"/>
    <row r="4" spans="1:22" ht="12.75" thickBot="1" x14ac:dyDescent="0.25">
      <c r="A4" s="648" t="s">
        <v>399</v>
      </c>
      <c r="B4" s="648" t="s">
        <v>118</v>
      </c>
      <c r="C4" s="646" t="s">
        <v>398</v>
      </c>
      <c r="D4" s="647"/>
      <c r="E4" s="647"/>
      <c r="F4" s="647"/>
      <c r="G4" s="647"/>
      <c r="H4" s="647"/>
    </row>
    <row r="5" spans="1:22" s="232" customFormat="1" ht="13.5" customHeight="1" thickBot="1" x14ac:dyDescent="0.25">
      <c r="A5" s="649"/>
      <c r="B5" s="649"/>
      <c r="C5" s="235" t="s">
        <v>397</v>
      </c>
      <c r="D5" s="254" t="s">
        <v>396</v>
      </c>
      <c r="E5" s="234" t="s">
        <v>395</v>
      </c>
      <c r="F5" s="233" t="s">
        <v>394</v>
      </c>
      <c r="G5" s="233" t="s">
        <v>400</v>
      </c>
      <c r="H5" s="233" t="s">
        <v>401</v>
      </c>
    </row>
    <row r="6" spans="1:22" x14ac:dyDescent="0.2">
      <c r="A6" s="231"/>
      <c r="B6" s="281"/>
      <c r="C6" s="230"/>
      <c r="D6" s="282" t="s">
        <v>752</v>
      </c>
      <c r="E6" s="283"/>
      <c r="F6" s="284"/>
      <c r="G6" s="285"/>
      <c r="H6" s="285"/>
    </row>
    <row r="7" spans="1:22" x14ac:dyDescent="0.2">
      <c r="A7" s="228" t="s">
        <v>47</v>
      </c>
      <c r="B7" s="286" t="s">
        <v>753</v>
      </c>
      <c r="C7" s="284" t="s">
        <v>754</v>
      </c>
      <c r="D7" s="287" t="s">
        <v>755</v>
      </c>
      <c r="E7" s="288">
        <v>38692</v>
      </c>
      <c r="F7" s="284" t="s">
        <v>756</v>
      </c>
      <c r="G7" s="285">
        <v>3557568</v>
      </c>
      <c r="H7" s="285">
        <f>2957576+4555530+3557568</f>
        <v>11070674</v>
      </c>
    </row>
    <row r="8" spans="1:22" x14ac:dyDescent="0.2">
      <c r="A8" s="228"/>
      <c r="B8" s="286"/>
      <c r="C8" s="230"/>
      <c r="D8" s="287"/>
      <c r="E8" s="288"/>
      <c r="F8" s="284"/>
      <c r="G8" s="285"/>
      <c r="H8" s="285"/>
    </row>
    <row r="9" spans="1:22" x14ac:dyDescent="0.2">
      <c r="A9" s="228" t="s">
        <v>48</v>
      </c>
      <c r="B9" s="286" t="s">
        <v>753</v>
      </c>
      <c r="C9" s="284" t="s">
        <v>754</v>
      </c>
      <c r="D9" s="287" t="s">
        <v>757</v>
      </c>
      <c r="E9" s="288">
        <v>37160</v>
      </c>
      <c r="F9" s="284" t="s">
        <v>756</v>
      </c>
      <c r="G9" s="285">
        <v>29809935.48</v>
      </c>
      <c r="H9" s="285">
        <v>30860802.050000001</v>
      </c>
    </row>
    <row r="10" spans="1:22" x14ac:dyDescent="0.2">
      <c r="A10" s="228"/>
      <c r="B10" s="286"/>
      <c r="C10" s="230"/>
      <c r="D10" s="287"/>
      <c r="E10" s="288"/>
      <c r="F10" s="284"/>
      <c r="G10" s="285"/>
      <c r="H10" s="285"/>
    </row>
    <row r="11" spans="1:22" x14ac:dyDescent="0.2">
      <c r="A11" s="228" t="s">
        <v>49</v>
      </c>
      <c r="B11" s="286" t="s">
        <v>753</v>
      </c>
      <c r="C11" s="284" t="s">
        <v>754</v>
      </c>
      <c r="D11" s="287" t="s">
        <v>758</v>
      </c>
      <c r="E11" s="288">
        <v>38692</v>
      </c>
      <c r="F11" s="284" t="s">
        <v>756</v>
      </c>
      <c r="G11" s="285">
        <f>2388770+14636947.35+35582059.15+1024467</f>
        <v>53632243.5</v>
      </c>
      <c r="H11" s="285">
        <f>2388770+14636947.35+35582059.15+1024467</f>
        <v>53632243.5</v>
      </c>
    </row>
    <row r="12" spans="1:22" x14ac:dyDescent="0.2">
      <c r="A12" s="228" t="s">
        <v>393</v>
      </c>
      <c r="B12" s="286"/>
      <c r="C12" s="230"/>
      <c r="D12" s="287"/>
      <c r="E12" s="288"/>
      <c r="F12" s="284"/>
      <c r="G12" s="285"/>
      <c r="H12" s="285"/>
    </row>
    <row r="13" spans="1:22" x14ac:dyDescent="0.2">
      <c r="A13" s="228"/>
      <c r="B13" s="286"/>
      <c r="C13" s="230"/>
      <c r="D13" s="287"/>
      <c r="E13" s="288"/>
      <c r="F13" s="284"/>
      <c r="G13" s="285"/>
      <c r="H13" s="285"/>
    </row>
    <row r="14" spans="1:22" x14ac:dyDescent="0.2">
      <c r="A14" s="228" t="s">
        <v>50</v>
      </c>
      <c r="B14" s="286" t="s">
        <v>753</v>
      </c>
      <c r="C14" s="284" t="s">
        <v>754</v>
      </c>
      <c r="D14" s="287" t="s">
        <v>759</v>
      </c>
      <c r="E14" s="288">
        <v>38692</v>
      </c>
      <c r="F14" s="284" t="s">
        <v>756</v>
      </c>
      <c r="G14" s="285">
        <v>2350000</v>
      </c>
      <c r="H14" s="285">
        <v>2350000</v>
      </c>
    </row>
    <row r="15" spans="1:22" x14ac:dyDescent="0.2">
      <c r="A15" s="228"/>
      <c r="B15" s="286"/>
      <c r="C15" s="230"/>
      <c r="D15" s="287"/>
      <c r="E15" s="288"/>
      <c r="F15" s="284"/>
      <c r="G15" s="285"/>
      <c r="H15" s="285"/>
    </row>
    <row r="16" spans="1:22" x14ac:dyDescent="0.2">
      <c r="A16" s="228" t="s">
        <v>51</v>
      </c>
      <c r="B16" s="286" t="s">
        <v>753</v>
      </c>
      <c r="C16" s="284" t="s">
        <v>754</v>
      </c>
      <c r="D16" s="287" t="s">
        <v>760</v>
      </c>
      <c r="E16" s="288">
        <v>38692</v>
      </c>
      <c r="F16" s="284" t="s">
        <v>756</v>
      </c>
      <c r="G16" s="285"/>
      <c r="H16" s="285"/>
    </row>
    <row r="17" spans="1:8" x14ac:dyDescent="0.2">
      <c r="A17" s="228"/>
      <c r="B17" s="227"/>
      <c r="C17" s="230"/>
      <c r="D17" s="287"/>
      <c r="E17" s="288"/>
      <c r="F17" s="284"/>
      <c r="G17" s="285"/>
      <c r="H17" s="285"/>
    </row>
    <row r="18" spans="1:8" x14ac:dyDescent="0.2">
      <c r="A18" s="228" t="s">
        <v>55</v>
      </c>
      <c r="B18" s="227"/>
      <c r="C18" s="230"/>
      <c r="D18" s="287"/>
      <c r="E18" s="288"/>
      <c r="F18" s="284"/>
      <c r="G18" s="285">
        <f>2961822+3267659+62440930.83+10144505.68</f>
        <v>78814917.50999999</v>
      </c>
      <c r="H18" s="285">
        <f>2961822+3267659+62441011.33+10144505.68</f>
        <v>78814998.00999999</v>
      </c>
    </row>
    <row r="19" spans="1:8" x14ac:dyDescent="0.2">
      <c r="A19" s="289" t="s">
        <v>761</v>
      </c>
      <c r="B19" s="227"/>
      <c r="C19" s="230"/>
      <c r="D19" s="287"/>
      <c r="E19" s="288"/>
      <c r="F19" s="284"/>
      <c r="G19" s="285"/>
      <c r="H19" s="285"/>
    </row>
    <row r="20" spans="1:8" x14ac:dyDescent="0.2">
      <c r="A20" s="228" t="s">
        <v>52</v>
      </c>
      <c r="B20" s="227"/>
      <c r="C20" s="230"/>
      <c r="D20" s="287"/>
      <c r="E20" s="288"/>
      <c r="F20" s="284"/>
      <c r="G20" s="285"/>
      <c r="H20" s="285"/>
    </row>
    <row r="21" spans="1:8" x14ac:dyDescent="0.2">
      <c r="A21" s="228" t="s">
        <v>53</v>
      </c>
      <c r="B21" s="227"/>
      <c r="C21" s="230"/>
      <c r="D21" s="287"/>
      <c r="E21" s="288"/>
      <c r="F21" s="284"/>
      <c r="G21" s="285"/>
      <c r="H21" s="285"/>
    </row>
    <row r="22" spans="1:8" x14ac:dyDescent="0.2">
      <c r="A22" s="228" t="s">
        <v>54</v>
      </c>
      <c r="B22" s="227"/>
      <c r="C22" s="230"/>
      <c r="D22" s="287"/>
      <c r="E22" s="288"/>
      <c r="F22" s="284"/>
      <c r="G22" s="285"/>
      <c r="H22" s="285"/>
    </row>
    <row r="23" spans="1:8" x14ac:dyDescent="0.2">
      <c r="A23" s="228" t="s">
        <v>392</v>
      </c>
      <c r="B23" s="227"/>
      <c r="C23" s="230"/>
      <c r="D23" s="287"/>
      <c r="E23" s="288"/>
      <c r="F23" s="284"/>
      <c r="G23" s="285"/>
      <c r="H23" s="285"/>
    </row>
    <row r="24" spans="1:8" x14ac:dyDescent="0.2">
      <c r="A24" s="289" t="s">
        <v>762</v>
      </c>
      <c r="B24" s="227"/>
      <c r="C24" s="230"/>
      <c r="D24" s="287"/>
      <c r="E24" s="288"/>
      <c r="F24" s="284"/>
      <c r="G24" s="285">
        <f>1650029.61+546020.97</f>
        <v>2196050.58</v>
      </c>
      <c r="H24" s="285">
        <f>1702975.59+546049.7</f>
        <v>2249025.29</v>
      </c>
    </row>
    <row r="25" spans="1:8" x14ac:dyDescent="0.2">
      <c r="A25" s="289" t="s">
        <v>763</v>
      </c>
      <c r="B25" s="227"/>
      <c r="C25" s="230"/>
      <c r="D25" s="287"/>
      <c r="E25" s="288"/>
      <c r="F25" s="284"/>
      <c r="G25" s="285">
        <v>548637.31999999995</v>
      </c>
      <c r="H25" s="285">
        <v>548643.25</v>
      </c>
    </row>
    <row r="26" spans="1:8" ht="12.75" thickBot="1" x14ac:dyDescent="0.25">
      <c r="A26" s="290" t="s">
        <v>764</v>
      </c>
      <c r="B26" s="229"/>
      <c r="C26" s="227"/>
      <c r="E26" s="228"/>
      <c r="F26" s="227"/>
      <c r="G26" s="285">
        <v>70744907.939999998</v>
      </c>
      <c r="H26" s="285">
        <v>70744907.939999998</v>
      </c>
    </row>
    <row r="27" spans="1:8" ht="12.75" thickBot="1" x14ac:dyDescent="0.25">
      <c r="A27" s="226" t="s">
        <v>0</v>
      </c>
      <c r="B27" s="225"/>
      <c r="C27" s="224"/>
      <c r="D27" s="224"/>
      <c r="E27" s="224"/>
      <c r="F27" s="224"/>
      <c r="G27" s="291">
        <f>SUM(G7:G26)</f>
        <v>241654260.33000001</v>
      </c>
      <c r="H27" s="292">
        <f>SUM(H7:H26)</f>
        <v>250271294.03999999</v>
      </c>
    </row>
    <row r="28" spans="1:8" x14ac:dyDescent="0.2">
      <c r="A28" s="223" t="s">
        <v>465</v>
      </c>
    </row>
    <row r="29" spans="1:8" x14ac:dyDescent="0.2">
      <c r="A29" s="223" t="s">
        <v>466</v>
      </c>
    </row>
  </sheetData>
  <mergeCells count="3">
    <mergeCell ref="C4:H4"/>
    <mergeCell ref="B4:B5"/>
    <mergeCell ref="A4:A5"/>
  </mergeCells>
  <printOptions horizontalCentered="1"/>
  <pageMargins left="0.25" right="0.25" top="0.75" bottom="0.75" header="0.3" footer="0.3"/>
  <pageSetup paperSize="9" scale="80" orientation="landscape" r:id="rId1"/>
  <headerFooter alignWithMargins="0">
    <oddHeader xml:space="preserve">&amp;C&amp;"Arial,Negrita"&amp;18PROYECTO DE PRESUPUESTO 2021
</oddHeader>
    <oddFooter>&amp;L&amp;"Arial,Negrita"&amp;8PROYECTO DE PRESUPUESTO PARA EL AÑO FISCAL 2020
INFORMACIÓN PARA LA COMISIÓN DE PRESUPUESTO Y CUENTA GENERAL DE LA REPÚBLICA DEL CONGRESO DE LA REPÚBLICA</oddFooter>
  </headerFooter>
  <colBreaks count="1" manualBreakCount="1">
    <brk id="8" max="1048575" man="1"/>
  </col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Hoja35">
    <tabColor theme="9" tint="-0.249977111117893"/>
    <pageSetUpPr fitToPage="1"/>
  </sheetPr>
  <dimension ref="A1:V19"/>
  <sheetViews>
    <sheetView view="pageLayout" zoomScale="75" zoomScaleNormal="100" zoomScaleSheetLayoutView="100" zoomScalePageLayoutView="75" workbookViewId="0">
      <selection activeCell="F25" sqref="F25"/>
    </sheetView>
  </sheetViews>
  <sheetFormatPr baseColWidth="10" defaultColWidth="11.42578125" defaultRowHeight="12" x14ac:dyDescent="0.2"/>
  <cols>
    <col min="1" max="10" width="18.7109375" style="3" customWidth="1"/>
    <col min="11" max="12" width="7.140625" style="50" customWidth="1"/>
    <col min="13" max="16" width="7.140625" style="3" customWidth="1"/>
    <col min="17" max="16384" width="11.42578125" style="3"/>
  </cols>
  <sheetData>
    <row r="1" spans="1:22" s="5" customFormat="1" x14ac:dyDescent="0.2">
      <c r="A1" s="5" t="s">
        <v>467</v>
      </c>
    </row>
    <row r="2" spans="1:22" x14ac:dyDescent="0.2">
      <c r="A2" s="2" t="s">
        <v>373</v>
      </c>
      <c r="B2" s="2"/>
      <c r="C2" s="2"/>
      <c r="D2" s="2"/>
      <c r="E2" s="2"/>
      <c r="F2" s="2"/>
      <c r="G2" s="2"/>
      <c r="H2" s="2"/>
      <c r="I2" s="2"/>
      <c r="J2" s="2"/>
      <c r="K2" s="2"/>
      <c r="L2" s="2"/>
      <c r="M2" s="2"/>
      <c r="N2" s="2"/>
      <c r="O2" s="2"/>
      <c r="P2" s="2"/>
      <c r="Q2" s="2"/>
      <c r="R2" s="2"/>
      <c r="S2" s="2"/>
      <c r="T2" s="2"/>
      <c r="U2" s="2"/>
      <c r="V2" s="2"/>
    </row>
    <row r="3" spans="1:22" ht="12.75" thickBot="1" x14ac:dyDescent="0.25"/>
    <row r="4" spans="1:22" s="64" customFormat="1" ht="12.75" customHeight="1" thickBot="1" x14ac:dyDescent="0.25">
      <c r="A4" s="653" t="s">
        <v>159</v>
      </c>
      <c r="B4" s="654"/>
      <c r="C4" s="654"/>
      <c r="D4" s="654"/>
      <c r="E4" s="655"/>
      <c r="F4" s="656" t="s">
        <v>160</v>
      </c>
      <c r="G4" s="657"/>
      <c r="H4" s="658"/>
      <c r="I4" s="658"/>
      <c r="J4" s="659"/>
      <c r="K4" s="650" t="s">
        <v>402</v>
      </c>
      <c r="L4" s="651"/>
      <c r="M4" s="652"/>
      <c r="N4" s="650" t="s">
        <v>403</v>
      </c>
      <c r="O4" s="651"/>
      <c r="P4" s="652"/>
    </row>
    <row r="5" spans="1:22" s="67" customFormat="1" ht="80.099999999999994" customHeight="1" thickBot="1" x14ac:dyDescent="0.25">
      <c r="A5" s="295" t="s">
        <v>118</v>
      </c>
      <c r="B5" s="165" t="s">
        <v>8</v>
      </c>
      <c r="C5" s="165" t="s">
        <v>112</v>
      </c>
      <c r="D5" s="296" t="s">
        <v>120</v>
      </c>
      <c r="E5" s="521" t="s">
        <v>141</v>
      </c>
      <c r="F5" s="295" t="s">
        <v>148</v>
      </c>
      <c r="G5" s="296" t="s">
        <v>149</v>
      </c>
      <c r="H5" s="296" t="s">
        <v>162</v>
      </c>
      <c r="I5" s="165" t="s">
        <v>163</v>
      </c>
      <c r="J5" s="520" t="s">
        <v>153</v>
      </c>
      <c r="K5" s="166" t="s">
        <v>150</v>
      </c>
      <c r="L5" s="167" t="s">
        <v>151</v>
      </c>
      <c r="M5" s="168" t="s">
        <v>152</v>
      </c>
      <c r="N5" s="166" t="s">
        <v>150</v>
      </c>
      <c r="O5" s="167" t="s">
        <v>151</v>
      </c>
      <c r="P5" s="168" t="s">
        <v>152</v>
      </c>
    </row>
    <row r="6" spans="1:22" x14ac:dyDescent="0.2">
      <c r="A6" s="62"/>
      <c r="B6" s="20"/>
      <c r="C6" s="20"/>
      <c r="D6" s="17"/>
      <c r="E6" s="18"/>
      <c r="F6" s="7"/>
      <c r="G6" s="77"/>
      <c r="H6" s="77"/>
      <c r="I6" s="78"/>
      <c r="K6" s="79"/>
      <c r="L6" s="82"/>
      <c r="M6" s="11"/>
      <c r="N6" s="79"/>
      <c r="O6" s="82"/>
      <c r="P6" s="75"/>
    </row>
    <row r="7" spans="1:22" x14ac:dyDescent="0.2">
      <c r="A7" s="45"/>
      <c r="B7" s="7"/>
      <c r="C7" s="7" t="s">
        <v>111</v>
      </c>
      <c r="D7" s="19"/>
      <c r="E7" s="11"/>
      <c r="F7" s="7"/>
      <c r="G7" s="19"/>
      <c r="H7" s="19"/>
      <c r="I7" s="7"/>
      <c r="K7" s="80"/>
      <c r="L7" s="83"/>
      <c r="M7" s="11"/>
      <c r="N7" s="80"/>
      <c r="O7" s="83"/>
      <c r="P7" s="75"/>
    </row>
    <row r="8" spans="1:22" x14ac:dyDescent="0.2">
      <c r="A8" s="45"/>
      <c r="B8" s="7"/>
      <c r="C8" s="7" t="s">
        <v>116</v>
      </c>
      <c r="D8" s="19"/>
      <c r="E8" s="11"/>
      <c r="F8" s="7"/>
      <c r="G8" s="19"/>
      <c r="H8" s="19"/>
      <c r="I8" s="7"/>
      <c r="K8" s="80"/>
      <c r="L8" s="83"/>
      <c r="M8" s="11"/>
      <c r="N8" s="80"/>
      <c r="O8" s="83"/>
      <c r="P8" s="75"/>
    </row>
    <row r="9" spans="1:22" x14ac:dyDescent="0.2">
      <c r="A9" s="45"/>
      <c r="B9" s="7"/>
      <c r="C9" s="7" t="s">
        <v>113</v>
      </c>
      <c r="D9" s="19"/>
      <c r="E9" s="11"/>
      <c r="F9" s="7"/>
      <c r="G9" s="19"/>
      <c r="H9" s="19"/>
      <c r="I9" s="7"/>
      <c r="K9" s="80"/>
      <c r="L9" s="83"/>
      <c r="M9" s="11"/>
      <c r="N9" s="80"/>
      <c r="O9" s="83"/>
      <c r="P9" s="75"/>
    </row>
    <row r="10" spans="1:22" x14ac:dyDescent="0.2">
      <c r="A10" s="45"/>
      <c r="B10" s="7"/>
      <c r="C10" s="7" t="s">
        <v>116</v>
      </c>
      <c r="D10" s="19"/>
      <c r="E10" s="11"/>
      <c r="F10" s="7"/>
      <c r="G10" s="19"/>
      <c r="H10" s="19"/>
      <c r="I10" s="7"/>
      <c r="K10" s="80"/>
      <c r="L10" s="83"/>
      <c r="M10" s="11"/>
      <c r="N10" s="80"/>
      <c r="O10" s="83"/>
      <c r="P10" s="75"/>
    </row>
    <row r="11" spans="1:22" x14ac:dyDescent="0.2">
      <c r="A11" s="45"/>
      <c r="B11" s="7"/>
      <c r="C11" s="7" t="s">
        <v>114</v>
      </c>
      <c r="D11" s="19"/>
      <c r="E11" s="11"/>
      <c r="F11" s="7"/>
      <c r="G11" s="19"/>
      <c r="H11" s="19"/>
      <c r="I11" s="7"/>
      <c r="K11" s="80"/>
      <c r="L11" s="83"/>
      <c r="M11" s="11"/>
      <c r="N11" s="80"/>
      <c r="O11" s="83"/>
      <c r="P11" s="75"/>
    </row>
    <row r="12" spans="1:22" x14ac:dyDescent="0.2">
      <c r="A12" s="45"/>
      <c r="B12" s="7"/>
      <c r="C12" s="7" t="s">
        <v>116</v>
      </c>
      <c r="D12" s="19"/>
      <c r="E12" s="11"/>
      <c r="F12" s="7"/>
      <c r="G12" s="19"/>
      <c r="H12" s="19"/>
      <c r="I12" s="7"/>
      <c r="K12" s="80"/>
      <c r="L12" s="83"/>
      <c r="M12" s="11"/>
      <c r="N12" s="80"/>
      <c r="O12" s="83"/>
      <c r="P12" s="75"/>
    </row>
    <row r="13" spans="1:22" x14ac:dyDescent="0.2">
      <c r="A13" s="45"/>
      <c r="B13" s="7"/>
      <c r="C13" s="7" t="s">
        <v>115</v>
      </c>
      <c r="D13" s="19"/>
      <c r="E13" s="11"/>
      <c r="F13" s="7"/>
      <c r="G13" s="19"/>
      <c r="H13" s="19"/>
      <c r="I13" s="7"/>
      <c r="K13" s="80"/>
      <c r="L13" s="83"/>
      <c r="M13" s="11"/>
      <c r="N13" s="80"/>
      <c r="O13" s="83"/>
      <c r="P13" s="75"/>
    </row>
    <row r="14" spans="1:22" x14ac:dyDescent="0.2">
      <c r="A14" s="45"/>
      <c r="B14" s="7"/>
      <c r="C14" s="7" t="s">
        <v>116</v>
      </c>
      <c r="D14" s="19"/>
      <c r="E14" s="11"/>
      <c r="F14" s="7"/>
      <c r="G14" s="19"/>
      <c r="H14" s="19"/>
      <c r="I14" s="7"/>
      <c r="K14" s="80"/>
      <c r="L14" s="83"/>
      <c r="M14" s="11"/>
      <c r="N14" s="80"/>
      <c r="O14" s="83"/>
      <c r="P14" s="75"/>
    </row>
    <row r="15" spans="1:22" x14ac:dyDescent="0.2">
      <c r="A15" s="45"/>
      <c r="B15" s="7"/>
      <c r="C15" s="7" t="s">
        <v>119</v>
      </c>
      <c r="D15" s="19"/>
      <c r="E15" s="11"/>
      <c r="F15" s="7"/>
      <c r="G15" s="19"/>
      <c r="H15" s="19"/>
      <c r="I15" s="7"/>
      <c r="K15" s="80"/>
      <c r="L15" s="83"/>
      <c r="M15" s="11"/>
      <c r="N15" s="80"/>
      <c r="O15" s="83"/>
      <c r="P15" s="75"/>
    </row>
    <row r="16" spans="1:22" x14ac:dyDescent="0.2">
      <c r="A16" s="45"/>
      <c r="B16" s="7"/>
      <c r="C16" s="7" t="s">
        <v>116</v>
      </c>
      <c r="D16" s="19"/>
      <c r="E16" s="11"/>
      <c r="F16" s="7"/>
      <c r="G16" s="19"/>
      <c r="H16" s="19"/>
      <c r="I16" s="7"/>
      <c r="K16" s="80"/>
      <c r="L16" s="83"/>
      <c r="M16" s="11"/>
      <c r="N16" s="80"/>
      <c r="O16" s="83"/>
      <c r="P16" s="75"/>
    </row>
    <row r="17" spans="1:16" ht="12.75" thickBot="1" x14ac:dyDescent="0.25">
      <c r="A17" s="48"/>
      <c r="B17" s="70"/>
      <c r="C17" s="70"/>
      <c r="D17" s="66"/>
      <c r="E17" s="4"/>
      <c r="F17" s="7"/>
      <c r="G17" s="19"/>
      <c r="H17" s="66"/>
      <c r="I17" s="7"/>
      <c r="K17" s="80"/>
      <c r="L17" s="83"/>
      <c r="M17" s="11"/>
      <c r="N17" s="80"/>
      <c r="O17" s="83"/>
      <c r="P17" s="75"/>
    </row>
    <row r="18" spans="1:16" ht="12.75" thickBot="1" x14ac:dyDescent="0.25">
      <c r="A18" s="63"/>
      <c r="B18" s="65"/>
      <c r="C18" s="65"/>
      <c r="D18" s="49"/>
      <c r="E18" s="14"/>
      <c r="F18" s="65"/>
      <c r="G18" s="49"/>
      <c r="H18" s="49"/>
      <c r="I18" s="51"/>
      <c r="J18" s="12"/>
      <c r="K18" s="81"/>
      <c r="L18" s="84"/>
      <c r="M18" s="14"/>
      <c r="N18" s="81"/>
      <c r="O18" s="84"/>
      <c r="P18" s="76"/>
    </row>
    <row r="19" spans="1:16" x14ac:dyDescent="0.2">
      <c r="A19" s="3" t="s">
        <v>441</v>
      </c>
    </row>
  </sheetData>
  <mergeCells count="4">
    <mergeCell ref="K4:M4"/>
    <mergeCell ref="N4:P4"/>
    <mergeCell ref="A4:E4"/>
    <mergeCell ref="F4:J4"/>
  </mergeCells>
  <printOptions horizontalCentered="1"/>
  <pageMargins left="0.25" right="0.25" top="0.75" bottom="0.75" header="0.3" footer="0.3"/>
  <pageSetup paperSize="9" scale="63" orientation="landscape" r:id="rId1"/>
  <headerFooter alignWithMargins="0">
    <oddHeader>&amp;C&amp;"Arial,Negrita"&amp;18PROYECTO DE PRESUPUESTO 2021</oddHeader>
    <oddFooter>&amp;L&amp;"Arial,Negrita"&amp;8PROYECTO DE PRESUPUESTO PARA EL AÑO FISCAL 2020
INFORMACIÓN PARA LA COMISIÓN DE PRESUPUESTO Y CUENTA GENERAL DE LA REPÚBLICA DEL CONGRESO DE LA REPÚBLICA</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Hoja14">
    <tabColor theme="9" tint="-0.249977111117893"/>
    <pageSetUpPr fitToPage="1"/>
  </sheetPr>
  <dimension ref="A1:S19"/>
  <sheetViews>
    <sheetView view="pageLayout" zoomScale="85" zoomScaleNormal="100" zoomScaleSheetLayoutView="100" zoomScalePageLayoutView="85" workbookViewId="0">
      <selection activeCell="F30" sqref="F30"/>
    </sheetView>
  </sheetViews>
  <sheetFormatPr baseColWidth="10" defaultColWidth="11.42578125" defaultRowHeight="12" x14ac:dyDescent="0.2"/>
  <cols>
    <col min="1" max="6" width="18.7109375" style="3" customWidth="1"/>
    <col min="7" max="8" width="6.7109375" style="50" customWidth="1"/>
    <col min="9" max="9" width="6.7109375" style="3" customWidth="1"/>
    <col min="10" max="12" width="18.7109375" style="3" customWidth="1"/>
    <col min="13" max="13" width="18.28515625" style="3" customWidth="1"/>
    <col min="14" max="14" width="20.42578125" style="3" customWidth="1"/>
    <col min="15" max="16384" width="11.42578125" style="3"/>
  </cols>
  <sheetData>
    <row r="1" spans="1:19" s="5" customFormat="1" x14ac:dyDescent="0.2">
      <c r="A1" s="5" t="s">
        <v>468</v>
      </c>
    </row>
    <row r="2" spans="1:19" x14ac:dyDescent="0.2">
      <c r="A2" s="2" t="s">
        <v>373</v>
      </c>
      <c r="B2" s="2"/>
      <c r="C2" s="2"/>
      <c r="D2" s="2"/>
      <c r="E2" s="2"/>
      <c r="F2" s="2"/>
      <c r="G2" s="2"/>
      <c r="H2" s="2"/>
      <c r="I2" s="2"/>
      <c r="J2" s="2"/>
      <c r="K2" s="2"/>
      <c r="L2" s="2"/>
      <c r="M2" s="2"/>
      <c r="N2" s="2"/>
      <c r="O2" s="2"/>
      <c r="P2" s="2"/>
      <c r="Q2" s="2"/>
      <c r="R2" s="2"/>
      <c r="S2" s="2"/>
    </row>
    <row r="3" spans="1:19" ht="12.75" thickBot="1" x14ac:dyDescent="0.25"/>
    <row r="4" spans="1:19" s="64" customFormat="1" ht="12.75" customHeight="1" thickBot="1" x14ac:dyDescent="0.25">
      <c r="A4" s="653" t="s">
        <v>337</v>
      </c>
      <c r="B4" s="655"/>
      <c r="C4" s="654" t="s">
        <v>338</v>
      </c>
      <c r="D4" s="654"/>
      <c r="E4" s="656" t="s">
        <v>341</v>
      </c>
      <c r="F4" s="657"/>
      <c r="G4" s="657"/>
      <c r="H4" s="657"/>
      <c r="I4" s="659"/>
      <c r="J4" s="654" t="s">
        <v>342</v>
      </c>
      <c r="K4" s="654"/>
      <c r="L4" s="655"/>
      <c r="M4" s="622" t="s">
        <v>493</v>
      </c>
      <c r="N4" s="661" t="s">
        <v>494</v>
      </c>
    </row>
    <row r="5" spans="1:19" s="67" customFormat="1" ht="86.25" customHeight="1" thickBot="1" x14ac:dyDescent="0.25">
      <c r="A5" s="295" t="s">
        <v>117</v>
      </c>
      <c r="B5" s="169" t="s">
        <v>118</v>
      </c>
      <c r="C5" s="165" t="s">
        <v>340</v>
      </c>
      <c r="D5" s="293" t="s">
        <v>339</v>
      </c>
      <c r="E5" s="295" t="s">
        <v>345</v>
      </c>
      <c r="F5" s="296" t="s">
        <v>346</v>
      </c>
      <c r="G5" s="170" t="s">
        <v>347</v>
      </c>
      <c r="H5" s="170" t="s">
        <v>348</v>
      </c>
      <c r="I5" s="171" t="s">
        <v>24</v>
      </c>
      <c r="J5" s="295" t="s">
        <v>343</v>
      </c>
      <c r="K5" s="165" t="s">
        <v>344</v>
      </c>
      <c r="L5" s="294" t="s">
        <v>349</v>
      </c>
      <c r="M5" s="660"/>
      <c r="N5" s="662"/>
    </row>
    <row r="6" spans="1:19" ht="13.5" thickBot="1" x14ac:dyDescent="0.25">
      <c r="A6" s="62" t="s">
        <v>839</v>
      </c>
      <c r="B6" s="18" t="s">
        <v>840</v>
      </c>
      <c r="C6" s="78" t="s">
        <v>841</v>
      </c>
      <c r="D6" s="119">
        <v>20148011207</v>
      </c>
      <c r="E6" s="45" t="s">
        <v>842</v>
      </c>
      <c r="F6" s="19"/>
      <c r="G6" s="480">
        <v>2200</v>
      </c>
      <c r="H6" s="19"/>
      <c r="I6" s="54"/>
      <c r="J6" s="45" t="s">
        <v>843</v>
      </c>
      <c r="K6" s="481">
        <v>24000</v>
      </c>
      <c r="L6" s="11" t="s">
        <v>844</v>
      </c>
      <c r="M6" s="482">
        <v>288000</v>
      </c>
      <c r="N6" s="11"/>
    </row>
    <row r="7" spans="1:19" x14ac:dyDescent="0.2">
      <c r="A7" s="62" t="s">
        <v>839</v>
      </c>
      <c r="B7" s="18" t="s">
        <v>840</v>
      </c>
      <c r="C7" s="78" t="s">
        <v>841</v>
      </c>
      <c r="D7" s="119">
        <v>20148011207</v>
      </c>
      <c r="E7" s="45" t="s">
        <v>842</v>
      </c>
      <c r="F7" s="19"/>
      <c r="G7" s="480">
        <v>2200</v>
      </c>
      <c r="H7" s="19"/>
      <c r="I7" s="54"/>
      <c r="J7" s="45" t="s">
        <v>845</v>
      </c>
      <c r="K7" s="483">
        <v>24000</v>
      </c>
      <c r="L7" s="11" t="s">
        <v>844</v>
      </c>
      <c r="M7" s="484"/>
      <c r="N7" s="484">
        <v>144000</v>
      </c>
    </row>
    <row r="8" spans="1:19" x14ac:dyDescent="0.2">
      <c r="A8" s="45"/>
      <c r="B8" s="11"/>
      <c r="C8" s="7"/>
      <c r="D8" s="120"/>
      <c r="E8" s="45"/>
      <c r="F8" s="19"/>
      <c r="G8" s="19"/>
      <c r="H8" s="19"/>
      <c r="I8" s="54"/>
      <c r="J8" s="45"/>
      <c r="K8" s="7"/>
      <c r="L8" s="11"/>
      <c r="M8" s="11"/>
      <c r="N8" s="11"/>
    </row>
    <row r="9" spans="1:19" x14ac:dyDescent="0.2">
      <c r="A9" s="45"/>
      <c r="B9" s="11"/>
      <c r="C9" s="7"/>
      <c r="D9" s="120"/>
      <c r="E9" s="45"/>
      <c r="F9" s="19"/>
      <c r="G9" s="19"/>
      <c r="H9" s="19"/>
      <c r="I9" s="54"/>
      <c r="J9" s="45"/>
      <c r="K9" s="7"/>
      <c r="L9" s="11"/>
      <c r="M9" s="11"/>
      <c r="N9" s="11"/>
    </row>
    <row r="10" spans="1:19" x14ac:dyDescent="0.2">
      <c r="A10" s="45"/>
      <c r="B10" s="11"/>
      <c r="C10" s="7"/>
      <c r="D10" s="120"/>
      <c r="E10" s="45"/>
      <c r="F10" s="19"/>
      <c r="G10" s="19"/>
      <c r="H10" s="19"/>
      <c r="I10" s="54"/>
      <c r="J10" s="45"/>
      <c r="K10" s="7"/>
      <c r="L10" s="11"/>
      <c r="M10" s="11"/>
      <c r="N10" s="11"/>
    </row>
    <row r="11" spans="1:19" x14ac:dyDescent="0.2">
      <c r="A11" s="45"/>
      <c r="B11" s="11"/>
      <c r="C11" s="7"/>
      <c r="D11" s="120"/>
      <c r="E11" s="45"/>
      <c r="F11" s="19"/>
      <c r="G11" s="19"/>
      <c r="H11" s="19"/>
      <c r="I11" s="54"/>
      <c r="J11" s="45"/>
      <c r="K11" s="7"/>
      <c r="L11" s="11"/>
      <c r="M11" s="11"/>
      <c r="N11" s="11"/>
    </row>
    <row r="12" spans="1:19" x14ac:dyDescent="0.2">
      <c r="A12" s="45"/>
      <c r="B12" s="11"/>
      <c r="C12" s="7"/>
      <c r="D12" s="120"/>
      <c r="E12" s="45"/>
      <c r="F12" s="19"/>
      <c r="G12" s="19"/>
      <c r="H12" s="19"/>
      <c r="I12" s="54"/>
      <c r="J12" s="45"/>
      <c r="K12" s="7"/>
      <c r="L12" s="11"/>
      <c r="M12" s="11"/>
      <c r="N12" s="11"/>
    </row>
    <row r="13" spans="1:19" x14ac:dyDescent="0.2">
      <c r="A13" s="45"/>
      <c r="B13" s="11"/>
      <c r="C13" s="7"/>
      <c r="D13" s="120"/>
      <c r="E13" s="45"/>
      <c r="F13" s="19"/>
      <c r="G13" s="19"/>
      <c r="H13" s="19"/>
      <c r="I13" s="54"/>
      <c r="J13" s="45"/>
      <c r="K13" s="7"/>
      <c r="L13" s="11"/>
      <c r="M13" s="11"/>
      <c r="N13" s="11"/>
    </row>
    <row r="14" spans="1:19" x14ac:dyDescent="0.2">
      <c r="A14" s="45"/>
      <c r="B14" s="11"/>
      <c r="C14" s="7"/>
      <c r="D14" s="120"/>
      <c r="E14" s="45"/>
      <c r="F14" s="19"/>
      <c r="G14" s="19"/>
      <c r="H14" s="19"/>
      <c r="I14" s="54"/>
      <c r="J14" s="45"/>
      <c r="K14" s="7"/>
      <c r="L14" s="11"/>
      <c r="M14" s="11"/>
      <c r="N14" s="11"/>
    </row>
    <row r="15" spans="1:19" x14ac:dyDescent="0.2">
      <c r="A15" s="45"/>
      <c r="B15" s="11"/>
      <c r="C15" s="7"/>
      <c r="D15" s="120"/>
      <c r="E15" s="45"/>
      <c r="F15" s="19"/>
      <c r="G15" s="19"/>
      <c r="H15" s="19"/>
      <c r="I15" s="54"/>
      <c r="J15" s="45"/>
      <c r="K15" s="7"/>
      <c r="L15" s="11"/>
      <c r="M15" s="11"/>
      <c r="N15" s="11"/>
    </row>
    <row r="16" spans="1:19" x14ac:dyDescent="0.2">
      <c r="A16" s="45"/>
      <c r="B16" s="11"/>
      <c r="C16" s="7"/>
      <c r="D16" s="120"/>
      <c r="E16" s="45"/>
      <c r="F16" s="19"/>
      <c r="G16" s="19"/>
      <c r="H16" s="19"/>
      <c r="I16" s="54"/>
      <c r="J16" s="45"/>
      <c r="K16" s="7"/>
      <c r="L16" s="11"/>
      <c r="M16" s="11"/>
      <c r="N16" s="11"/>
    </row>
    <row r="17" spans="1:14" ht="12.75" thickBot="1" x14ac:dyDescent="0.25">
      <c r="A17" s="48"/>
      <c r="B17" s="4"/>
      <c r="C17" s="7"/>
      <c r="D17" s="120"/>
      <c r="E17" s="45"/>
      <c r="F17" s="19"/>
      <c r="G17" s="19"/>
      <c r="H17" s="19"/>
      <c r="I17" s="54"/>
      <c r="J17" s="45"/>
      <c r="K17" s="7"/>
      <c r="L17" s="11"/>
      <c r="M17" s="11"/>
      <c r="N17" s="11"/>
    </row>
    <row r="18" spans="1:14" ht="12.75" thickBot="1" x14ac:dyDescent="0.25">
      <c r="A18" s="63"/>
      <c r="B18" s="117"/>
      <c r="C18" s="51"/>
      <c r="D18" s="121"/>
      <c r="E18" s="122"/>
      <c r="F18" s="49"/>
      <c r="G18" s="49"/>
      <c r="H18" s="49"/>
      <c r="I18" s="118"/>
      <c r="J18" s="13"/>
      <c r="K18" s="51"/>
      <c r="L18" s="14"/>
      <c r="M18" s="14"/>
      <c r="N18" s="14"/>
    </row>
    <row r="19" spans="1:14" x14ac:dyDescent="0.2">
      <c r="A19" s="3" t="s">
        <v>469</v>
      </c>
    </row>
  </sheetData>
  <mergeCells count="6">
    <mergeCell ref="M4:M5"/>
    <mergeCell ref="N4:N5"/>
    <mergeCell ref="C4:D4"/>
    <mergeCell ref="A4:B4"/>
    <mergeCell ref="J4:L4"/>
    <mergeCell ref="E4:I4"/>
  </mergeCells>
  <printOptions horizontalCentered="1"/>
  <pageMargins left="0.25" right="0.25" top="0.75" bottom="0.75" header="0.3" footer="0.3"/>
  <pageSetup paperSize="9" scale="64" orientation="landscape" r:id="rId1"/>
  <headerFooter alignWithMargins="0">
    <oddHeader>&amp;C&amp;"Arial,Negrita"&amp;18PROYECTO DE PRESUPUESTO 2021</oddHeader>
    <oddFooter>&amp;L&amp;"Arial,Negrita"&amp;8PROYECTO DE PRESUPUESTO PARA EL AÑO FISCAL 2020
INFORMACIÓN PARA LA COMISIÓN DE PRESUPUESTO Y CUENTA GENERAL DE LA REPÚBLICA DEL CONGRESO DE LA REPÚBLICA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tabColor theme="9" tint="-0.249977111117893"/>
  </sheetPr>
  <dimension ref="A2:L67"/>
  <sheetViews>
    <sheetView view="pageLayout" zoomScaleNormal="100" zoomScaleSheetLayoutView="100" workbookViewId="0">
      <selection activeCell="B11" sqref="B11:B12"/>
    </sheetView>
  </sheetViews>
  <sheetFormatPr baseColWidth="10" defaultColWidth="9.140625" defaultRowHeight="12.75" x14ac:dyDescent="0.2"/>
  <cols>
    <col min="1" max="1" width="7.140625" customWidth="1"/>
    <col min="2" max="3" width="20.7109375" customWidth="1"/>
    <col min="4" max="5" width="6.7109375" customWidth="1"/>
    <col min="6" max="6" width="9.28515625" customWidth="1"/>
    <col min="7" max="7" width="6.7109375" customWidth="1"/>
    <col min="8" max="8" width="9.5703125" customWidth="1"/>
    <col min="9" max="9" width="8.42578125" customWidth="1"/>
    <col min="10" max="10" width="8.85546875" customWidth="1"/>
    <col min="11" max="11" width="15.7109375" customWidth="1"/>
    <col min="12" max="12" width="17.5703125" customWidth="1"/>
  </cols>
  <sheetData>
    <row r="2" spans="1:12" ht="14.25" x14ac:dyDescent="0.2">
      <c r="A2" s="571" t="s">
        <v>505</v>
      </c>
      <c r="B2" s="571"/>
      <c r="C2" s="571"/>
      <c r="D2" s="571"/>
      <c r="E2" s="571"/>
      <c r="F2" s="571"/>
      <c r="G2" s="571"/>
      <c r="H2" s="571"/>
      <c r="I2" s="571"/>
      <c r="J2" s="571"/>
      <c r="K2" s="571"/>
      <c r="L2" s="571"/>
    </row>
    <row r="3" spans="1:12" ht="25.5" customHeight="1" x14ac:dyDescent="0.2">
      <c r="A3" s="572" t="s">
        <v>506</v>
      </c>
      <c r="B3" s="572"/>
      <c r="C3" s="255" t="s">
        <v>507</v>
      </c>
      <c r="D3" s="573" t="s">
        <v>508</v>
      </c>
      <c r="E3" s="573"/>
      <c r="F3" s="573" t="s">
        <v>509</v>
      </c>
      <c r="G3" s="573"/>
      <c r="H3" s="573" t="s">
        <v>510</v>
      </c>
      <c r="I3" s="573"/>
      <c r="J3" s="573"/>
      <c r="K3" s="572" t="s">
        <v>511</v>
      </c>
      <c r="L3" s="572" t="s">
        <v>512</v>
      </c>
    </row>
    <row r="4" spans="1:12" x14ac:dyDescent="0.2">
      <c r="A4" s="256" t="s">
        <v>513</v>
      </c>
      <c r="B4" s="256" t="s">
        <v>514</v>
      </c>
      <c r="C4" s="256" t="s">
        <v>515</v>
      </c>
      <c r="D4" s="256" t="s">
        <v>516</v>
      </c>
      <c r="E4" s="256" t="s">
        <v>517</v>
      </c>
      <c r="F4" s="256" t="s">
        <v>516</v>
      </c>
      <c r="G4" s="256" t="s">
        <v>517</v>
      </c>
      <c r="H4" s="256" t="s">
        <v>518</v>
      </c>
      <c r="I4" s="256" t="s">
        <v>519</v>
      </c>
      <c r="J4" s="256" t="s">
        <v>520</v>
      </c>
      <c r="K4" s="572"/>
      <c r="L4" s="572"/>
    </row>
    <row r="5" spans="1:12" ht="51" x14ac:dyDescent="0.2">
      <c r="A5" s="574" t="s">
        <v>521</v>
      </c>
      <c r="B5" s="575" t="s">
        <v>522</v>
      </c>
      <c r="C5" s="257" t="s">
        <v>523</v>
      </c>
      <c r="D5" s="258">
        <v>0.63</v>
      </c>
      <c r="E5" s="258">
        <v>2015</v>
      </c>
      <c r="F5" s="258">
        <v>0.64</v>
      </c>
      <c r="G5" s="258">
        <v>2016</v>
      </c>
      <c r="H5" s="258">
        <v>0.67</v>
      </c>
      <c r="I5" s="258">
        <v>0.69</v>
      </c>
      <c r="J5" s="258">
        <v>0.7</v>
      </c>
      <c r="K5" s="258" t="s">
        <v>524</v>
      </c>
      <c r="L5" s="576" t="s">
        <v>525</v>
      </c>
    </row>
    <row r="6" spans="1:12" ht="38.25" x14ac:dyDescent="0.2">
      <c r="A6" s="574"/>
      <c r="B6" s="575"/>
      <c r="C6" s="257" t="s">
        <v>526</v>
      </c>
      <c r="D6" s="259" t="s">
        <v>527</v>
      </c>
      <c r="E6" s="259">
        <v>2011</v>
      </c>
      <c r="F6" s="259" t="s">
        <v>528</v>
      </c>
      <c r="G6" s="259">
        <v>2017</v>
      </c>
      <c r="H6" s="259">
        <v>50</v>
      </c>
      <c r="I6" s="259">
        <v>40</v>
      </c>
      <c r="J6" s="259">
        <v>30</v>
      </c>
      <c r="K6" s="258" t="s">
        <v>529</v>
      </c>
      <c r="L6" s="576"/>
    </row>
    <row r="7" spans="1:12" ht="63.75" x14ac:dyDescent="0.2">
      <c r="A7" s="574" t="s">
        <v>530</v>
      </c>
      <c r="B7" s="575" t="s">
        <v>531</v>
      </c>
      <c r="C7" s="257" t="s">
        <v>532</v>
      </c>
      <c r="D7" s="258">
        <v>5394</v>
      </c>
      <c r="E7" s="258">
        <v>2015</v>
      </c>
      <c r="F7" s="258" t="s">
        <v>528</v>
      </c>
      <c r="G7" s="258">
        <v>2017</v>
      </c>
      <c r="H7" s="258">
        <v>6394</v>
      </c>
      <c r="I7" s="258">
        <v>7394</v>
      </c>
      <c r="J7" s="258">
        <v>8394</v>
      </c>
      <c r="K7" s="258" t="s">
        <v>529</v>
      </c>
      <c r="L7" s="576" t="s">
        <v>533</v>
      </c>
    </row>
    <row r="8" spans="1:12" ht="25.5" x14ac:dyDescent="0.2">
      <c r="A8" s="574"/>
      <c r="B8" s="575"/>
      <c r="C8" s="257" t="s">
        <v>534</v>
      </c>
      <c r="D8" s="258">
        <v>5.4</v>
      </c>
      <c r="E8" s="258">
        <v>2015</v>
      </c>
      <c r="F8" s="258" t="s">
        <v>528</v>
      </c>
      <c r="G8" s="258">
        <v>2017</v>
      </c>
      <c r="H8" s="258">
        <v>5.8</v>
      </c>
      <c r="I8" s="258">
        <v>6.1</v>
      </c>
      <c r="J8" s="258">
        <v>6.2</v>
      </c>
      <c r="K8" s="258" t="s">
        <v>529</v>
      </c>
      <c r="L8" s="576"/>
    </row>
    <row r="9" spans="1:12" ht="51" x14ac:dyDescent="0.2">
      <c r="A9" s="574" t="s">
        <v>535</v>
      </c>
      <c r="B9" s="575" t="s">
        <v>536</v>
      </c>
      <c r="C9" s="257" t="s">
        <v>537</v>
      </c>
      <c r="D9" s="258">
        <v>86.1</v>
      </c>
      <c r="E9" s="258">
        <v>2015</v>
      </c>
      <c r="F9" s="258">
        <v>83.19</v>
      </c>
      <c r="G9" s="258">
        <v>2016</v>
      </c>
      <c r="H9" s="258">
        <v>85.16</v>
      </c>
      <c r="I9" s="258">
        <v>92.5</v>
      </c>
      <c r="J9" s="258">
        <v>98.9</v>
      </c>
      <c r="K9" s="258" t="s">
        <v>529</v>
      </c>
      <c r="L9" s="576" t="s">
        <v>538</v>
      </c>
    </row>
    <row r="10" spans="1:12" ht="38.25" x14ac:dyDescent="0.2">
      <c r="A10" s="574"/>
      <c r="B10" s="575"/>
      <c r="C10" s="257" t="s">
        <v>539</v>
      </c>
      <c r="D10" s="258">
        <v>70.2</v>
      </c>
      <c r="E10" s="258">
        <v>2015</v>
      </c>
      <c r="F10" s="258">
        <v>88.3</v>
      </c>
      <c r="G10" s="258">
        <v>2016</v>
      </c>
      <c r="H10" s="258">
        <v>88.9</v>
      </c>
      <c r="I10" s="258">
        <v>89.1</v>
      </c>
      <c r="J10" s="258">
        <v>89.5</v>
      </c>
      <c r="K10" s="258" t="s">
        <v>529</v>
      </c>
      <c r="L10" s="576"/>
    </row>
    <row r="11" spans="1:12" ht="25.5" x14ac:dyDescent="0.2">
      <c r="A11" s="574" t="s">
        <v>540</v>
      </c>
      <c r="B11" s="575" t="s">
        <v>541</v>
      </c>
      <c r="C11" s="257" t="s">
        <v>542</v>
      </c>
      <c r="D11" s="258">
        <v>1.79</v>
      </c>
      <c r="E11" s="258">
        <v>2015</v>
      </c>
      <c r="F11" s="258" t="s">
        <v>528</v>
      </c>
      <c r="G11" s="258">
        <v>2017</v>
      </c>
      <c r="H11" s="258">
        <v>1.9</v>
      </c>
      <c r="I11" s="258">
        <v>2.1</v>
      </c>
      <c r="J11" s="258">
        <v>2.2999999999999998</v>
      </c>
      <c r="K11" s="258" t="s">
        <v>543</v>
      </c>
      <c r="L11" s="576" t="s">
        <v>544</v>
      </c>
    </row>
    <row r="12" spans="1:12" ht="25.5" x14ac:dyDescent="0.2">
      <c r="A12" s="574"/>
      <c r="B12" s="575"/>
      <c r="C12" s="257" t="s">
        <v>545</v>
      </c>
      <c r="D12" s="259">
        <v>9.6</v>
      </c>
      <c r="E12" s="259">
        <v>2009</v>
      </c>
      <c r="F12" s="259" t="s">
        <v>528</v>
      </c>
      <c r="G12" s="260" t="s">
        <v>546</v>
      </c>
      <c r="H12" s="259">
        <v>10.3</v>
      </c>
      <c r="I12" s="260" t="s">
        <v>547</v>
      </c>
      <c r="J12" s="260" t="s">
        <v>548</v>
      </c>
      <c r="K12" s="258" t="s">
        <v>543</v>
      </c>
      <c r="L12" s="576"/>
    </row>
    <row r="13" spans="1:12" ht="38.25" x14ac:dyDescent="0.2">
      <c r="A13" s="574" t="s">
        <v>549</v>
      </c>
      <c r="B13" s="575" t="s">
        <v>550</v>
      </c>
      <c r="C13" s="257" t="s">
        <v>551</v>
      </c>
      <c r="D13" s="258">
        <v>123</v>
      </c>
      <c r="E13" s="258">
        <v>2011</v>
      </c>
      <c r="F13" s="258" t="s">
        <v>528</v>
      </c>
      <c r="G13" s="258">
        <v>2017</v>
      </c>
      <c r="H13" s="258">
        <v>125</v>
      </c>
      <c r="I13" s="258">
        <v>126</v>
      </c>
      <c r="J13" s="258">
        <v>127</v>
      </c>
      <c r="K13" s="258" t="s">
        <v>552</v>
      </c>
      <c r="L13" s="576" t="s">
        <v>553</v>
      </c>
    </row>
    <row r="14" spans="1:12" ht="63.75" x14ac:dyDescent="0.2">
      <c r="A14" s="574"/>
      <c r="B14" s="575"/>
      <c r="C14" s="261" t="s">
        <v>554</v>
      </c>
      <c r="D14" s="259" t="s">
        <v>555</v>
      </c>
      <c r="E14" s="259">
        <v>2016</v>
      </c>
      <c r="F14" s="259">
        <v>17</v>
      </c>
      <c r="G14" s="259">
        <v>2017</v>
      </c>
      <c r="H14" s="259">
        <v>2</v>
      </c>
      <c r="I14" s="259">
        <v>2</v>
      </c>
      <c r="J14" s="259">
        <v>2</v>
      </c>
      <c r="K14" s="258" t="s">
        <v>556</v>
      </c>
      <c r="L14" s="576"/>
    </row>
    <row r="15" spans="1:12" ht="51" x14ac:dyDescent="0.2">
      <c r="A15" s="262" t="s">
        <v>557</v>
      </c>
      <c r="B15" s="263" t="s">
        <v>558</v>
      </c>
      <c r="C15" s="257" t="s">
        <v>559</v>
      </c>
      <c r="D15" s="259">
        <v>160</v>
      </c>
      <c r="E15" s="259">
        <v>2015</v>
      </c>
      <c r="F15" s="259">
        <v>165</v>
      </c>
      <c r="G15" s="259">
        <v>2017</v>
      </c>
      <c r="H15" s="259">
        <v>180</v>
      </c>
      <c r="I15" s="259">
        <v>190</v>
      </c>
      <c r="J15" s="259">
        <v>200</v>
      </c>
      <c r="K15" s="258" t="s">
        <v>560</v>
      </c>
      <c r="L15" s="258" t="s">
        <v>561</v>
      </c>
    </row>
    <row r="16" spans="1:12" ht="51" x14ac:dyDescent="0.2">
      <c r="A16" s="574" t="s">
        <v>562</v>
      </c>
      <c r="B16" s="575" t="s">
        <v>563</v>
      </c>
      <c r="C16" s="257" t="s">
        <v>564</v>
      </c>
      <c r="D16" s="259">
        <v>7843</v>
      </c>
      <c r="E16" s="259">
        <v>2012</v>
      </c>
      <c r="F16" s="259" t="s">
        <v>528</v>
      </c>
      <c r="G16" s="259">
        <v>2017</v>
      </c>
      <c r="H16" s="259">
        <v>7000</v>
      </c>
      <c r="I16" s="259">
        <v>6000</v>
      </c>
      <c r="J16" s="259">
        <v>5000</v>
      </c>
      <c r="K16" s="258" t="s">
        <v>565</v>
      </c>
      <c r="L16" s="576" t="s">
        <v>566</v>
      </c>
    </row>
    <row r="17" spans="1:12" ht="38.25" x14ac:dyDescent="0.2">
      <c r="A17" s="574"/>
      <c r="B17" s="575"/>
      <c r="C17" s="257" t="s">
        <v>567</v>
      </c>
      <c r="D17" s="259">
        <v>75783</v>
      </c>
      <c r="E17" s="259">
        <v>2012</v>
      </c>
      <c r="F17" s="259" t="s">
        <v>528</v>
      </c>
      <c r="G17" s="259">
        <v>2017</v>
      </c>
      <c r="H17" s="259">
        <v>80000</v>
      </c>
      <c r="I17" s="259">
        <v>90000</v>
      </c>
      <c r="J17" s="259">
        <v>96774</v>
      </c>
      <c r="K17" s="258" t="s">
        <v>565</v>
      </c>
      <c r="L17" s="576"/>
    </row>
    <row r="20" spans="1:12" ht="16.5" x14ac:dyDescent="0.2">
      <c r="A20" s="577" t="s">
        <v>568</v>
      </c>
      <c r="B20" s="577"/>
      <c r="C20" s="577"/>
      <c r="D20" s="577"/>
      <c r="E20" s="577"/>
      <c r="F20" s="577"/>
      <c r="G20" s="577"/>
      <c r="H20" s="577"/>
      <c r="I20" s="577"/>
      <c r="J20" s="577"/>
      <c r="K20" s="577"/>
      <c r="L20" s="577"/>
    </row>
    <row r="21" spans="1:12" x14ac:dyDescent="0.2">
      <c r="A21" s="578" t="s">
        <v>569</v>
      </c>
      <c r="B21" s="578"/>
      <c r="C21" s="264" t="s">
        <v>570</v>
      </c>
      <c r="D21" s="579" t="s">
        <v>571</v>
      </c>
      <c r="E21" s="579"/>
      <c r="F21" s="579" t="s">
        <v>572</v>
      </c>
      <c r="G21" s="579"/>
      <c r="H21" s="579" t="s">
        <v>573</v>
      </c>
      <c r="I21" s="579"/>
      <c r="J21" s="579"/>
      <c r="K21" s="578" t="s">
        <v>574</v>
      </c>
      <c r="L21" s="578" t="s">
        <v>575</v>
      </c>
    </row>
    <row r="22" spans="1:12" x14ac:dyDescent="0.2">
      <c r="A22" s="265" t="s">
        <v>576</v>
      </c>
      <c r="B22" s="265" t="s">
        <v>577</v>
      </c>
      <c r="C22" s="265" t="s">
        <v>578</v>
      </c>
      <c r="D22" s="265" t="s">
        <v>579</v>
      </c>
      <c r="E22" s="265" t="s">
        <v>580</v>
      </c>
      <c r="F22" s="265" t="s">
        <v>579</v>
      </c>
      <c r="G22" s="265" t="s">
        <v>580</v>
      </c>
      <c r="H22" s="265" t="s">
        <v>581</v>
      </c>
      <c r="I22" s="265" t="s">
        <v>582</v>
      </c>
      <c r="J22" s="265" t="s">
        <v>583</v>
      </c>
      <c r="K22" s="578"/>
      <c r="L22" s="578"/>
    </row>
    <row r="23" spans="1:12" ht="38.25" x14ac:dyDescent="0.2">
      <c r="A23" s="580" t="s">
        <v>584</v>
      </c>
      <c r="B23" s="581" t="s">
        <v>585</v>
      </c>
      <c r="C23" s="257" t="s">
        <v>586</v>
      </c>
      <c r="D23" s="258">
        <v>8.3000000000000001E-4</v>
      </c>
      <c r="E23" s="258">
        <v>2015</v>
      </c>
      <c r="F23" s="258">
        <v>8.1999999999999998E-4</v>
      </c>
      <c r="G23" s="258">
        <v>2016</v>
      </c>
      <c r="H23" s="258">
        <v>8.0999999999999996E-4</v>
      </c>
      <c r="I23" s="258">
        <v>8.0999999999999996E-4</v>
      </c>
      <c r="J23" s="258">
        <v>8.0999999999999996E-4</v>
      </c>
      <c r="K23" s="258" t="s">
        <v>587</v>
      </c>
      <c r="L23" s="257" t="s">
        <v>588</v>
      </c>
    </row>
    <row r="24" spans="1:12" ht="38.25" x14ac:dyDescent="0.2">
      <c r="A24" s="580"/>
      <c r="B24" s="581"/>
      <c r="C24" s="257" t="s">
        <v>589</v>
      </c>
      <c r="D24" s="258">
        <v>15.1</v>
      </c>
      <c r="E24" s="258">
        <v>2015</v>
      </c>
      <c r="F24" s="258">
        <v>14.1</v>
      </c>
      <c r="G24" s="258">
        <v>2016</v>
      </c>
      <c r="H24" s="258">
        <v>12.1</v>
      </c>
      <c r="I24" s="258">
        <v>11.1</v>
      </c>
      <c r="J24" s="258">
        <v>10.1</v>
      </c>
      <c r="K24" s="258" t="s">
        <v>587</v>
      </c>
      <c r="L24" s="257" t="s">
        <v>588</v>
      </c>
    </row>
    <row r="25" spans="1:12" ht="63.75" x14ac:dyDescent="0.2">
      <c r="A25" s="582" t="s">
        <v>590</v>
      </c>
      <c r="B25" s="581" t="s">
        <v>591</v>
      </c>
      <c r="C25" s="257" t="s">
        <v>592</v>
      </c>
      <c r="D25" s="258">
        <v>21</v>
      </c>
      <c r="E25" s="258">
        <v>2015</v>
      </c>
      <c r="F25" s="258">
        <v>68</v>
      </c>
      <c r="G25" s="258">
        <v>2016</v>
      </c>
      <c r="H25" s="258">
        <v>69.599999999999994</v>
      </c>
      <c r="I25" s="258">
        <v>70.400000000000006</v>
      </c>
      <c r="J25" s="258">
        <v>71.2</v>
      </c>
      <c r="K25" s="258" t="s">
        <v>587</v>
      </c>
      <c r="L25" s="257" t="s">
        <v>588</v>
      </c>
    </row>
    <row r="26" spans="1:12" ht="51" x14ac:dyDescent="0.2">
      <c r="A26" s="582"/>
      <c r="B26" s="581"/>
      <c r="C26" s="257" t="s">
        <v>593</v>
      </c>
      <c r="D26" s="258">
        <v>100</v>
      </c>
      <c r="E26" s="258">
        <v>2015</v>
      </c>
      <c r="F26" s="258">
        <v>60</v>
      </c>
      <c r="G26" s="258">
        <v>2016</v>
      </c>
      <c r="H26" s="258">
        <v>66</v>
      </c>
      <c r="I26" s="258">
        <v>73</v>
      </c>
      <c r="J26" s="258">
        <v>80</v>
      </c>
      <c r="K26" s="258" t="s">
        <v>587</v>
      </c>
      <c r="L26" s="257" t="s">
        <v>588</v>
      </c>
    </row>
    <row r="27" spans="1:12" ht="38.25" x14ac:dyDescent="0.2">
      <c r="A27" s="582" t="s">
        <v>594</v>
      </c>
      <c r="B27" s="581" t="s">
        <v>595</v>
      </c>
      <c r="C27" s="257" t="s">
        <v>596</v>
      </c>
      <c r="D27" s="258">
        <v>1.96</v>
      </c>
      <c r="E27" s="258">
        <v>2015</v>
      </c>
      <c r="F27" s="258">
        <v>1.7</v>
      </c>
      <c r="G27" s="258">
        <v>2016</v>
      </c>
      <c r="H27" s="258">
        <v>1.68</v>
      </c>
      <c r="I27" s="258">
        <v>1.68</v>
      </c>
      <c r="J27" s="258">
        <v>1.68</v>
      </c>
      <c r="K27" s="258" t="s">
        <v>587</v>
      </c>
      <c r="L27" s="257" t="s">
        <v>588</v>
      </c>
    </row>
    <row r="28" spans="1:12" ht="38.25" x14ac:dyDescent="0.2">
      <c r="A28" s="582"/>
      <c r="B28" s="581"/>
      <c r="C28" s="257" t="s">
        <v>597</v>
      </c>
      <c r="D28" s="258">
        <v>37.5</v>
      </c>
      <c r="E28" s="258">
        <v>2015</v>
      </c>
      <c r="F28" s="258">
        <v>33.299999999999997</v>
      </c>
      <c r="G28" s="258">
        <v>2016</v>
      </c>
      <c r="H28" s="258">
        <v>25</v>
      </c>
      <c r="I28" s="258">
        <v>20.8</v>
      </c>
      <c r="J28" s="258">
        <v>16.7</v>
      </c>
      <c r="K28" s="258" t="s">
        <v>587</v>
      </c>
      <c r="L28" s="257" t="s">
        <v>588</v>
      </c>
    </row>
    <row r="29" spans="1:12" ht="51" x14ac:dyDescent="0.2">
      <c r="A29" s="582" t="s">
        <v>598</v>
      </c>
      <c r="B29" s="581" t="s">
        <v>599</v>
      </c>
      <c r="C29" s="257" t="s">
        <v>600</v>
      </c>
      <c r="D29" s="258">
        <v>14</v>
      </c>
      <c r="E29" s="258">
        <v>2015</v>
      </c>
      <c r="F29" s="258">
        <v>37.83</v>
      </c>
      <c r="G29" s="258">
        <v>2016</v>
      </c>
      <c r="H29" s="258">
        <v>38.43</v>
      </c>
      <c r="I29" s="258">
        <v>38.729999999999997</v>
      </c>
      <c r="J29" s="258">
        <v>39.03</v>
      </c>
      <c r="K29" s="258" t="s">
        <v>587</v>
      </c>
      <c r="L29" s="257" t="s">
        <v>588</v>
      </c>
    </row>
    <row r="30" spans="1:12" ht="76.5" x14ac:dyDescent="0.2">
      <c r="A30" s="582"/>
      <c r="B30" s="581"/>
      <c r="C30" s="257" t="s">
        <v>601</v>
      </c>
      <c r="D30" s="258">
        <v>18.21</v>
      </c>
      <c r="E30" s="258">
        <v>2015</v>
      </c>
      <c r="F30" s="258">
        <v>21.35</v>
      </c>
      <c r="G30" s="258">
        <v>2016</v>
      </c>
      <c r="H30" s="258">
        <v>22.16</v>
      </c>
      <c r="I30" s="258">
        <v>23.22</v>
      </c>
      <c r="J30" s="258">
        <v>26.14</v>
      </c>
      <c r="K30" s="258" t="s">
        <v>587</v>
      </c>
      <c r="L30" s="257" t="s">
        <v>588</v>
      </c>
    </row>
    <row r="31" spans="1:12" ht="38.25" x14ac:dyDescent="0.2">
      <c r="A31" s="582" t="s">
        <v>602</v>
      </c>
      <c r="B31" s="581" t="s">
        <v>603</v>
      </c>
      <c r="C31" s="257" t="s">
        <v>604</v>
      </c>
      <c r="D31" s="258" t="s">
        <v>605</v>
      </c>
      <c r="E31" s="258" t="s">
        <v>605</v>
      </c>
      <c r="F31" s="258" t="s">
        <v>605</v>
      </c>
      <c r="G31" s="258">
        <v>2016</v>
      </c>
      <c r="H31" s="258">
        <v>80</v>
      </c>
      <c r="I31" s="258">
        <v>90</v>
      </c>
      <c r="J31" s="258">
        <v>90</v>
      </c>
      <c r="K31" s="258" t="s">
        <v>587</v>
      </c>
      <c r="L31" s="257" t="s">
        <v>588</v>
      </c>
    </row>
    <row r="32" spans="1:12" ht="38.25" x14ac:dyDescent="0.2">
      <c r="A32" s="582"/>
      <c r="B32" s="581"/>
      <c r="C32" s="257" t="s">
        <v>606</v>
      </c>
      <c r="D32" s="266">
        <v>16892</v>
      </c>
      <c r="E32" s="258">
        <v>2014</v>
      </c>
      <c r="F32" s="266">
        <v>16222</v>
      </c>
      <c r="G32" s="258">
        <v>2016</v>
      </c>
      <c r="H32" s="266">
        <v>17183</v>
      </c>
      <c r="I32" s="266">
        <v>17684</v>
      </c>
      <c r="J32" s="266">
        <v>18200</v>
      </c>
      <c r="K32" s="258" t="s">
        <v>587</v>
      </c>
      <c r="L32" s="257" t="s">
        <v>588</v>
      </c>
    </row>
    <row r="33" spans="1:12" ht="76.5" x14ac:dyDescent="0.2">
      <c r="A33" s="267" t="s">
        <v>607</v>
      </c>
      <c r="B33" s="257" t="s">
        <v>608</v>
      </c>
      <c r="C33" s="257" t="s">
        <v>609</v>
      </c>
      <c r="D33" s="268">
        <v>0.2</v>
      </c>
      <c r="E33" s="258">
        <v>2015</v>
      </c>
      <c r="F33" s="268">
        <v>0.3</v>
      </c>
      <c r="G33" s="258">
        <v>2017</v>
      </c>
      <c r="H33" s="268">
        <v>0.3</v>
      </c>
      <c r="I33" s="268">
        <v>0.4</v>
      </c>
      <c r="J33" s="268">
        <v>0.55000000000000004</v>
      </c>
      <c r="K33" s="258" t="s">
        <v>610</v>
      </c>
      <c r="L33" s="257" t="s">
        <v>611</v>
      </c>
    </row>
    <row r="34" spans="1:12" ht="51" x14ac:dyDescent="0.2">
      <c r="A34" s="267" t="s">
        <v>612</v>
      </c>
      <c r="B34" s="257" t="s">
        <v>613</v>
      </c>
      <c r="C34" s="257" t="s">
        <v>614</v>
      </c>
      <c r="D34" s="268">
        <v>0.8</v>
      </c>
      <c r="E34" s="258">
        <v>2015</v>
      </c>
      <c r="F34" s="268">
        <v>1</v>
      </c>
      <c r="G34" s="258">
        <v>2017</v>
      </c>
      <c r="H34" s="268">
        <v>1</v>
      </c>
      <c r="I34" s="268">
        <v>1</v>
      </c>
      <c r="J34" s="268">
        <v>1</v>
      </c>
      <c r="K34" s="258" t="s">
        <v>610</v>
      </c>
      <c r="L34" s="257" t="s">
        <v>615</v>
      </c>
    </row>
    <row r="35" spans="1:12" ht="63.75" x14ac:dyDescent="0.2">
      <c r="A35" s="267" t="s">
        <v>616</v>
      </c>
      <c r="B35" s="257" t="s">
        <v>617</v>
      </c>
      <c r="C35" s="257" t="s">
        <v>618</v>
      </c>
      <c r="D35" s="268">
        <v>0.62</v>
      </c>
      <c r="E35" s="258">
        <v>2010</v>
      </c>
      <c r="F35" s="269">
        <v>0.71499999999999997</v>
      </c>
      <c r="G35" s="258">
        <v>2017</v>
      </c>
      <c r="H35" s="268">
        <v>0.72</v>
      </c>
      <c r="I35" s="268">
        <v>0.82</v>
      </c>
      <c r="J35" s="268">
        <v>0.92</v>
      </c>
      <c r="K35" s="258" t="s">
        <v>610</v>
      </c>
      <c r="L35" s="257" t="s">
        <v>615</v>
      </c>
    </row>
    <row r="36" spans="1:12" ht="76.5" x14ac:dyDescent="0.2">
      <c r="A36" s="267" t="s">
        <v>619</v>
      </c>
      <c r="B36" s="257" t="s">
        <v>620</v>
      </c>
      <c r="C36" s="270" t="s">
        <v>621</v>
      </c>
      <c r="D36" s="258" t="s">
        <v>528</v>
      </c>
      <c r="E36" s="258">
        <v>2016</v>
      </c>
      <c r="F36" s="258" t="s">
        <v>528</v>
      </c>
      <c r="G36" s="258">
        <v>2017</v>
      </c>
      <c r="H36" s="258" t="s">
        <v>528</v>
      </c>
      <c r="I36" s="258" t="s">
        <v>528</v>
      </c>
      <c r="J36" s="258" t="s">
        <v>528</v>
      </c>
      <c r="K36" s="258" t="s">
        <v>622</v>
      </c>
      <c r="L36" s="257" t="s">
        <v>611</v>
      </c>
    </row>
    <row r="37" spans="1:12" ht="63.75" x14ac:dyDescent="0.2">
      <c r="A37" s="267" t="s">
        <v>623</v>
      </c>
      <c r="B37" s="257" t="s">
        <v>624</v>
      </c>
      <c r="C37" s="270" t="s">
        <v>625</v>
      </c>
      <c r="D37" s="258">
        <v>38</v>
      </c>
      <c r="E37" s="258">
        <v>2015</v>
      </c>
      <c r="F37" s="258" t="s">
        <v>605</v>
      </c>
      <c r="G37" s="258">
        <v>2017</v>
      </c>
      <c r="H37" s="258">
        <v>39</v>
      </c>
      <c r="I37" s="258">
        <v>40</v>
      </c>
      <c r="J37" s="258">
        <v>41</v>
      </c>
      <c r="K37" s="258" t="s">
        <v>626</v>
      </c>
      <c r="L37" s="257" t="s">
        <v>627</v>
      </c>
    </row>
    <row r="38" spans="1:12" ht="51" x14ac:dyDescent="0.2">
      <c r="A38" s="267" t="s">
        <v>628</v>
      </c>
      <c r="B38" s="257" t="s">
        <v>629</v>
      </c>
      <c r="C38" s="270" t="s">
        <v>630</v>
      </c>
      <c r="D38" s="258">
        <v>0</v>
      </c>
      <c r="E38" s="258">
        <v>2016</v>
      </c>
      <c r="F38" s="258">
        <v>0</v>
      </c>
      <c r="G38" s="258">
        <v>2017</v>
      </c>
      <c r="H38" s="258" t="s">
        <v>528</v>
      </c>
      <c r="I38" s="258" t="s">
        <v>528</v>
      </c>
      <c r="J38" s="258" t="s">
        <v>528</v>
      </c>
      <c r="K38" s="258" t="s">
        <v>631</v>
      </c>
      <c r="L38" s="258" t="s">
        <v>632</v>
      </c>
    </row>
    <row r="39" spans="1:12" ht="51" x14ac:dyDescent="0.2">
      <c r="A39" s="267" t="s">
        <v>633</v>
      </c>
      <c r="B39" s="257" t="s">
        <v>634</v>
      </c>
      <c r="C39" s="257" t="s">
        <v>635</v>
      </c>
      <c r="D39" s="258">
        <v>0</v>
      </c>
      <c r="E39" s="258">
        <v>2016</v>
      </c>
      <c r="F39" s="258">
        <v>0</v>
      </c>
      <c r="G39" s="258">
        <v>2017</v>
      </c>
      <c r="H39" s="258">
        <v>30</v>
      </c>
      <c r="I39" s="258">
        <v>65</v>
      </c>
      <c r="J39" s="258">
        <v>100</v>
      </c>
      <c r="K39" s="258" t="s">
        <v>636</v>
      </c>
      <c r="L39" s="257" t="s">
        <v>637</v>
      </c>
    </row>
    <row r="40" spans="1:12" ht="76.5" x14ac:dyDescent="0.2">
      <c r="A40" s="267" t="s">
        <v>638</v>
      </c>
      <c r="B40" s="257" t="s">
        <v>639</v>
      </c>
      <c r="C40" s="257" t="s">
        <v>640</v>
      </c>
      <c r="D40" s="259">
        <v>81.8</v>
      </c>
      <c r="E40" s="259">
        <v>2016</v>
      </c>
      <c r="F40" s="259" t="s">
        <v>641</v>
      </c>
      <c r="G40" s="259">
        <v>2017</v>
      </c>
      <c r="H40" s="259">
        <v>85</v>
      </c>
      <c r="I40" s="259">
        <v>90</v>
      </c>
      <c r="J40" s="259">
        <v>100</v>
      </c>
      <c r="K40" s="259" t="s">
        <v>636</v>
      </c>
      <c r="L40" s="257" t="s">
        <v>637</v>
      </c>
    </row>
    <row r="41" spans="1:12" ht="51" x14ac:dyDescent="0.2">
      <c r="A41" s="271" t="s">
        <v>642</v>
      </c>
      <c r="B41" s="257" t="s">
        <v>643</v>
      </c>
      <c r="C41" s="270" t="s">
        <v>644</v>
      </c>
      <c r="D41" s="258">
        <v>26.3</v>
      </c>
      <c r="E41" s="258">
        <v>2016</v>
      </c>
      <c r="F41" s="258" t="s">
        <v>605</v>
      </c>
      <c r="G41" s="258">
        <v>2017</v>
      </c>
      <c r="H41" s="258">
        <v>30</v>
      </c>
      <c r="I41" s="258">
        <v>33.1</v>
      </c>
      <c r="J41" s="258">
        <v>36</v>
      </c>
      <c r="K41" s="258" t="s">
        <v>645</v>
      </c>
      <c r="L41" s="257" t="s">
        <v>646</v>
      </c>
    </row>
    <row r="42" spans="1:12" ht="76.5" x14ac:dyDescent="0.2">
      <c r="A42" s="267" t="s">
        <v>647</v>
      </c>
      <c r="B42" s="257" t="s">
        <v>648</v>
      </c>
      <c r="C42" s="270" t="s">
        <v>649</v>
      </c>
      <c r="D42" s="258">
        <v>12</v>
      </c>
      <c r="E42" s="258">
        <v>1992</v>
      </c>
      <c r="F42" s="258">
        <v>1000</v>
      </c>
      <c r="G42" s="258">
        <v>2017</v>
      </c>
      <c r="H42" s="266">
        <v>2000</v>
      </c>
      <c r="I42" s="266">
        <v>3000</v>
      </c>
      <c r="J42" s="266">
        <v>4000</v>
      </c>
      <c r="K42" s="258" t="s">
        <v>650</v>
      </c>
      <c r="L42" s="257" t="s">
        <v>651</v>
      </c>
    </row>
    <row r="43" spans="1:12" ht="51" x14ac:dyDescent="0.2">
      <c r="A43" s="267" t="s">
        <v>652</v>
      </c>
      <c r="B43" s="257" t="s">
        <v>653</v>
      </c>
      <c r="C43" s="257" t="s">
        <v>654</v>
      </c>
      <c r="D43" s="258">
        <v>60</v>
      </c>
      <c r="E43" s="258">
        <v>2016</v>
      </c>
      <c r="F43" s="258" t="s">
        <v>655</v>
      </c>
      <c r="G43" s="258" t="s">
        <v>655</v>
      </c>
      <c r="H43" s="258">
        <v>80</v>
      </c>
      <c r="I43" s="258">
        <v>80</v>
      </c>
      <c r="J43" s="258">
        <v>80</v>
      </c>
      <c r="K43" s="258" t="s">
        <v>656</v>
      </c>
      <c r="L43" s="257" t="s">
        <v>657</v>
      </c>
    </row>
    <row r="44" spans="1:12" ht="76.5" x14ac:dyDescent="0.2">
      <c r="A44" s="267" t="s">
        <v>658</v>
      </c>
      <c r="B44" s="257" t="s">
        <v>659</v>
      </c>
      <c r="C44" s="257" t="s">
        <v>660</v>
      </c>
      <c r="D44" s="258">
        <v>200</v>
      </c>
      <c r="E44" s="258">
        <v>2016</v>
      </c>
      <c r="F44" s="258" t="s">
        <v>528</v>
      </c>
      <c r="G44" s="258" t="s">
        <v>528</v>
      </c>
      <c r="H44" s="258">
        <v>300</v>
      </c>
      <c r="I44" s="258">
        <v>300</v>
      </c>
      <c r="J44" s="258">
        <v>300</v>
      </c>
      <c r="K44" s="258" t="s">
        <v>661</v>
      </c>
      <c r="L44" s="257" t="s">
        <v>662</v>
      </c>
    </row>
    <row r="45" spans="1:12" ht="63.75" x14ac:dyDescent="0.2">
      <c r="A45" s="267" t="s">
        <v>663</v>
      </c>
      <c r="B45" s="257" t="s">
        <v>664</v>
      </c>
      <c r="C45" s="257" t="s">
        <v>665</v>
      </c>
      <c r="D45" s="258">
        <v>228</v>
      </c>
      <c r="E45" s="258">
        <v>2014</v>
      </c>
      <c r="F45" s="258" t="s">
        <v>528</v>
      </c>
      <c r="G45" s="258" t="s">
        <v>528</v>
      </c>
      <c r="H45" s="258">
        <v>318</v>
      </c>
      <c r="I45" s="258">
        <v>448</v>
      </c>
      <c r="J45" s="258">
        <v>558</v>
      </c>
      <c r="K45" s="258" t="s">
        <v>666</v>
      </c>
      <c r="L45" s="257" t="s">
        <v>667</v>
      </c>
    </row>
    <row r="46" spans="1:12" ht="89.25" x14ac:dyDescent="0.2">
      <c r="A46" s="267" t="s">
        <v>668</v>
      </c>
      <c r="B46" s="257" t="s">
        <v>669</v>
      </c>
      <c r="C46" s="270" t="s">
        <v>670</v>
      </c>
      <c r="D46" s="258" t="s">
        <v>528</v>
      </c>
      <c r="E46" s="258">
        <v>2016</v>
      </c>
      <c r="F46" s="258" t="s">
        <v>528</v>
      </c>
      <c r="G46" s="258">
        <v>2017</v>
      </c>
      <c r="H46" s="258" t="s">
        <v>528</v>
      </c>
      <c r="I46" s="258" t="s">
        <v>528</v>
      </c>
      <c r="J46" s="258" t="s">
        <v>528</v>
      </c>
      <c r="K46" s="258" t="s">
        <v>666</v>
      </c>
      <c r="L46" s="257" t="s">
        <v>667</v>
      </c>
    </row>
    <row r="47" spans="1:12" ht="63.75" x14ac:dyDescent="0.2">
      <c r="A47" s="267" t="s">
        <v>671</v>
      </c>
      <c r="B47" s="257" t="s">
        <v>672</v>
      </c>
      <c r="C47" s="257" t="s">
        <v>673</v>
      </c>
      <c r="D47" s="258">
        <v>0.1</v>
      </c>
      <c r="E47" s="258">
        <v>2016</v>
      </c>
      <c r="F47" s="258">
        <v>0.09</v>
      </c>
      <c r="G47" s="258">
        <v>2017</v>
      </c>
      <c r="H47" s="258" t="s">
        <v>528</v>
      </c>
      <c r="I47" s="258" t="s">
        <v>528</v>
      </c>
      <c r="J47" s="258" t="s">
        <v>528</v>
      </c>
      <c r="K47" s="258" t="s">
        <v>645</v>
      </c>
      <c r="L47" s="257" t="s">
        <v>674</v>
      </c>
    </row>
    <row r="48" spans="1:12" ht="63.75" x14ac:dyDescent="0.2">
      <c r="A48" s="267" t="s">
        <v>675</v>
      </c>
      <c r="B48" s="257" t="s">
        <v>676</v>
      </c>
      <c r="C48" s="257" t="s">
        <v>677</v>
      </c>
      <c r="D48" s="258" t="s">
        <v>555</v>
      </c>
      <c r="E48" s="258">
        <v>2016</v>
      </c>
      <c r="F48" s="258">
        <v>29</v>
      </c>
      <c r="G48" s="258">
        <v>2017</v>
      </c>
      <c r="H48" s="258">
        <v>35</v>
      </c>
      <c r="I48" s="258">
        <v>37</v>
      </c>
      <c r="J48" s="258">
        <v>40</v>
      </c>
      <c r="K48" s="258" t="s">
        <v>645</v>
      </c>
      <c r="L48" s="257" t="s">
        <v>674</v>
      </c>
    </row>
    <row r="49" spans="1:12" ht="63.75" x14ac:dyDescent="0.2">
      <c r="A49" s="580" t="s">
        <v>678</v>
      </c>
      <c r="B49" s="581" t="s">
        <v>679</v>
      </c>
      <c r="C49" s="257" t="s">
        <v>680</v>
      </c>
      <c r="D49" s="268">
        <v>0.47</v>
      </c>
      <c r="E49" s="258">
        <v>2014</v>
      </c>
      <c r="F49" s="268">
        <v>0.02</v>
      </c>
      <c r="G49" s="258">
        <v>2017</v>
      </c>
      <c r="H49" s="268">
        <v>0.01</v>
      </c>
      <c r="I49" s="269">
        <v>5.0000000000000001E-3</v>
      </c>
      <c r="J49" s="269">
        <v>5.0000000000000001E-3</v>
      </c>
      <c r="K49" s="258" t="s">
        <v>681</v>
      </c>
      <c r="L49" s="257" t="s">
        <v>682</v>
      </c>
    </row>
    <row r="50" spans="1:12" ht="63.75" x14ac:dyDescent="0.2">
      <c r="A50" s="580"/>
      <c r="B50" s="581"/>
      <c r="C50" s="257" t="s">
        <v>683</v>
      </c>
      <c r="D50" s="268">
        <v>0.95</v>
      </c>
      <c r="E50" s="258">
        <v>2014</v>
      </c>
      <c r="F50" s="268">
        <v>0.88</v>
      </c>
      <c r="G50" s="258">
        <v>2017</v>
      </c>
      <c r="H50" s="268">
        <v>0.3</v>
      </c>
      <c r="I50" s="268">
        <v>0.3</v>
      </c>
      <c r="J50" s="268">
        <v>0.28000000000000003</v>
      </c>
      <c r="K50" s="258" t="s">
        <v>684</v>
      </c>
      <c r="L50" s="257" t="s">
        <v>682</v>
      </c>
    </row>
    <row r="51" spans="1:12" ht="63.75" x14ac:dyDescent="0.2">
      <c r="A51" s="582" t="s">
        <v>685</v>
      </c>
      <c r="B51" s="581" t="s">
        <v>686</v>
      </c>
      <c r="C51" s="257" t="s">
        <v>687</v>
      </c>
      <c r="D51" s="268">
        <v>0.25</v>
      </c>
      <c r="E51" s="258">
        <v>2013</v>
      </c>
      <c r="F51" s="268">
        <v>0.02</v>
      </c>
      <c r="G51" s="258">
        <v>2017</v>
      </c>
      <c r="H51" s="269">
        <v>6.0000000000000001E-3</v>
      </c>
      <c r="I51" s="268">
        <v>0.01</v>
      </c>
      <c r="J51" s="269">
        <v>5.0000000000000001E-3</v>
      </c>
      <c r="K51" s="258" t="s">
        <v>681</v>
      </c>
      <c r="L51" s="257" t="s">
        <v>682</v>
      </c>
    </row>
    <row r="52" spans="1:12" ht="63.75" x14ac:dyDescent="0.2">
      <c r="A52" s="582"/>
      <c r="B52" s="581"/>
      <c r="C52" s="257" t="s">
        <v>688</v>
      </c>
      <c r="D52" s="268">
        <v>0.74</v>
      </c>
      <c r="E52" s="258">
        <v>2014</v>
      </c>
      <c r="F52" s="268">
        <v>0.56999999999999995</v>
      </c>
      <c r="G52" s="258">
        <v>2017</v>
      </c>
      <c r="H52" s="268">
        <v>0.3</v>
      </c>
      <c r="I52" s="268">
        <v>0.2</v>
      </c>
      <c r="J52" s="268">
        <v>7.0000000000000007E-2</v>
      </c>
      <c r="K52" s="258" t="s">
        <v>689</v>
      </c>
      <c r="L52" s="257" t="s">
        <v>682</v>
      </c>
    </row>
    <row r="53" spans="1:12" ht="63.75" x14ac:dyDescent="0.2">
      <c r="A53" s="271" t="s">
        <v>690</v>
      </c>
      <c r="B53" s="257" t="s">
        <v>691</v>
      </c>
      <c r="C53" s="257" t="s">
        <v>692</v>
      </c>
      <c r="D53" s="268">
        <v>0.1</v>
      </c>
      <c r="E53" s="258">
        <v>2012</v>
      </c>
      <c r="F53" s="268">
        <v>0.3</v>
      </c>
      <c r="G53" s="258">
        <v>2017</v>
      </c>
      <c r="H53" s="268">
        <v>0.3</v>
      </c>
      <c r="I53" s="268">
        <v>0.4</v>
      </c>
      <c r="J53" s="268">
        <v>0.3</v>
      </c>
      <c r="K53" s="258" t="s">
        <v>693</v>
      </c>
      <c r="L53" s="257" t="s">
        <v>694</v>
      </c>
    </row>
    <row r="54" spans="1:12" ht="63.75" x14ac:dyDescent="0.2">
      <c r="A54" s="267" t="s">
        <v>695</v>
      </c>
      <c r="B54" s="257" t="s">
        <v>696</v>
      </c>
      <c r="C54" s="257" t="s">
        <v>697</v>
      </c>
      <c r="D54" s="258">
        <v>4</v>
      </c>
      <c r="E54" s="258">
        <v>2016</v>
      </c>
      <c r="F54" s="258">
        <v>3</v>
      </c>
      <c r="G54" s="258">
        <v>2017</v>
      </c>
      <c r="H54" s="258">
        <v>6</v>
      </c>
      <c r="I54" s="258">
        <v>6</v>
      </c>
      <c r="J54" s="258">
        <v>6</v>
      </c>
      <c r="K54" s="258" t="s">
        <v>693</v>
      </c>
      <c r="L54" s="257" t="s">
        <v>698</v>
      </c>
    </row>
    <row r="55" spans="1:12" ht="63.75" x14ac:dyDescent="0.2">
      <c r="A55" s="267" t="s">
        <v>699</v>
      </c>
      <c r="B55" s="257" t="s">
        <v>700</v>
      </c>
      <c r="C55" s="257" t="s">
        <v>701</v>
      </c>
      <c r="D55" s="258">
        <v>2</v>
      </c>
      <c r="E55" s="258">
        <v>2016</v>
      </c>
      <c r="F55" s="258" t="s">
        <v>655</v>
      </c>
      <c r="G55" s="258">
        <v>2017</v>
      </c>
      <c r="H55" s="258">
        <v>2</v>
      </c>
      <c r="I55" s="258">
        <v>2</v>
      </c>
      <c r="J55" s="258">
        <v>2</v>
      </c>
      <c r="K55" s="258" t="s">
        <v>702</v>
      </c>
      <c r="L55" s="257" t="s">
        <v>703</v>
      </c>
    </row>
    <row r="56" spans="1:12" ht="63.75" x14ac:dyDescent="0.2">
      <c r="A56" s="267" t="s">
        <v>704</v>
      </c>
      <c r="B56" s="257" t="s">
        <v>705</v>
      </c>
      <c r="C56" s="257" t="s">
        <v>706</v>
      </c>
      <c r="D56" s="258">
        <v>1</v>
      </c>
      <c r="E56" s="258">
        <v>2014</v>
      </c>
      <c r="F56" s="258">
        <v>3</v>
      </c>
      <c r="G56" s="258">
        <v>2017</v>
      </c>
      <c r="H56" s="258">
        <v>2</v>
      </c>
      <c r="I56" s="258">
        <v>1</v>
      </c>
      <c r="J56" s="258">
        <v>1</v>
      </c>
      <c r="K56" s="258" t="s">
        <v>702</v>
      </c>
      <c r="L56" s="257" t="s">
        <v>703</v>
      </c>
    </row>
    <row r="57" spans="1:12" ht="63.75" x14ac:dyDescent="0.2">
      <c r="A57" s="267" t="s">
        <v>707</v>
      </c>
      <c r="B57" s="257" t="s">
        <v>708</v>
      </c>
      <c r="C57" s="257" t="s">
        <v>709</v>
      </c>
      <c r="D57" s="258">
        <v>5</v>
      </c>
      <c r="E57" s="258">
        <v>1979</v>
      </c>
      <c r="F57" s="258">
        <v>10</v>
      </c>
      <c r="G57" s="258">
        <v>2017</v>
      </c>
      <c r="H57" s="258">
        <v>15</v>
      </c>
      <c r="I57" s="258">
        <v>20</v>
      </c>
      <c r="J57" s="258">
        <v>25</v>
      </c>
      <c r="K57" s="258" t="s">
        <v>693</v>
      </c>
      <c r="L57" s="257" t="s">
        <v>710</v>
      </c>
    </row>
    <row r="58" spans="1:12" ht="63.75" x14ac:dyDescent="0.2">
      <c r="A58" s="263" t="s">
        <v>711</v>
      </c>
      <c r="B58" s="257" t="s">
        <v>712</v>
      </c>
      <c r="C58" s="257" t="s">
        <v>713</v>
      </c>
      <c r="D58" s="258" t="s">
        <v>555</v>
      </c>
      <c r="E58" s="258">
        <v>2016</v>
      </c>
      <c r="F58" s="258">
        <v>16</v>
      </c>
      <c r="G58" s="258">
        <v>2017</v>
      </c>
      <c r="H58" s="258">
        <v>2</v>
      </c>
      <c r="I58" s="258">
        <v>2</v>
      </c>
      <c r="J58" s="258">
        <v>2</v>
      </c>
      <c r="K58" s="258" t="s">
        <v>714</v>
      </c>
      <c r="L58" s="257" t="s">
        <v>715</v>
      </c>
    </row>
    <row r="59" spans="1:12" ht="89.25" x14ac:dyDescent="0.2">
      <c r="A59" s="267" t="s">
        <v>716</v>
      </c>
      <c r="B59" s="257" t="s">
        <v>717</v>
      </c>
      <c r="C59" s="257" t="s">
        <v>718</v>
      </c>
      <c r="D59" s="258">
        <v>41</v>
      </c>
      <c r="E59" s="258">
        <v>2016</v>
      </c>
      <c r="F59" s="258">
        <v>35</v>
      </c>
      <c r="G59" s="258">
        <v>2017</v>
      </c>
      <c r="H59" s="258">
        <v>36</v>
      </c>
      <c r="I59" s="258">
        <v>38</v>
      </c>
      <c r="J59" s="258">
        <v>40</v>
      </c>
      <c r="K59" s="258" t="s">
        <v>714</v>
      </c>
      <c r="L59" s="257" t="s">
        <v>719</v>
      </c>
    </row>
    <row r="60" spans="1:12" ht="63.75" x14ac:dyDescent="0.2">
      <c r="A60" s="580" t="s">
        <v>720</v>
      </c>
      <c r="B60" s="581" t="s">
        <v>721</v>
      </c>
      <c r="C60" s="257" t="s">
        <v>722</v>
      </c>
      <c r="D60" s="258">
        <v>6</v>
      </c>
      <c r="E60" s="258">
        <v>1980</v>
      </c>
      <c r="F60" s="258">
        <v>21</v>
      </c>
      <c r="G60" s="258">
        <v>2017</v>
      </c>
      <c r="H60" s="258">
        <v>22</v>
      </c>
      <c r="I60" s="258">
        <v>22</v>
      </c>
      <c r="J60" s="258">
        <v>22</v>
      </c>
      <c r="K60" s="257" t="s">
        <v>723</v>
      </c>
      <c r="L60" s="257" t="s">
        <v>724</v>
      </c>
    </row>
    <row r="61" spans="1:12" ht="63.75" x14ac:dyDescent="0.2">
      <c r="A61" s="580"/>
      <c r="B61" s="581"/>
      <c r="C61" s="257" t="s">
        <v>725</v>
      </c>
      <c r="D61" s="258" t="s">
        <v>528</v>
      </c>
      <c r="E61" s="258" t="s">
        <v>528</v>
      </c>
      <c r="F61" s="258" t="s">
        <v>528</v>
      </c>
      <c r="G61" s="258">
        <v>2017</v>
      </c>
      <c r="H61" s="258">
        <v>10</v>
      </c>
      <c r="I61" s="258">
        <v>15</v>
      </c>
      <c r="J61" s="258">
        <v>18</v>
      </c>
      <c r="K61" s="257" t="s">
        <v>723</v>
      </c>
      <c r="L61" s="257" t="s">
        <v>724</v>
      </c>
    </row>
    <row r="62" spans="1:12" ht="89.25" x14ac:dyDescent="0.2">
      <c r="A62" s="267" t="s">
        <v>726</v>
      </c>
      <c r="B62" s="257" t="s">
        <v>727</v>
      </c>
      <c r="C62" s="257" t="s">
        <v>728</v>
      </c>
      <c r="D62" s="258" t="s">
        <v>528</v>
      </c>
      <c r="E62" s="258" t="s">
        <v>528</v>
      </c>
      <c r="F62" s="258" t="s">
        <v>528</v>
      </c>
      <c r="G62" s="258">
        <v>2017</v>
      </c>
      <c r="H62" s="258">
        <v>1</v>
      </c>
      <c r="I62" s="258">
        <v>1</v>
      </c>
      <c r="J62" s="258">
        <v>1</v>
      </c>
      <c r="K62" s="257" t="s">
        <v>729</v>
      </c>
      <c r="L62" s="257" t="s">
        <v>729</v>
      </c>
    </row>
    <row r="63" spans="1:12" ht="63.75" x14ac:dyDescent="0.2">
      <c r="A63" s="267" t="s">
        <v>730</v>
      </c>
      <c r="B63" s="257" t="s">
        <v>731</v>
      </c>
      <c r="C63" s="257" t="s">
        <v>732</v>
      </c>
      <c r="D63" s="258" t="s">
        <v>528</v>
      </c>
      <c r="E63" s="258" t="s">
        <v>528</v>
      </c>
      <c r="F63" s="258" t="s">
        <v>528</v>
      </c>
      <c r="G63" s="258">
        <v>2017</v>
      </c>
      <c r="H63" s="258">
        <v>1</v>
      </c>
      <c r="I63" s="258">
        <v>1</v>
      </c>
      <c r="J63" s="258">
        <v>1</v>
      </c>
      <c r="K63" s="257" t="s">
        <v>733</v>
      </c>
      <c r="L63" s="257" t="s">
        <v>733</v>
      </c>
    </row>
    <row r="64" spans="1:12" ht="76.5" x14ac:dyDescent="0.2">
      <c r="A64" s="267" t="s">
        <v>734</v>
      </c>
      <c r="B64" s="257" t="s">
        <v>735</v>
      </c>
      <c r="C64" s="257" t="s">
        <v>736</v>
      </c>
      <c r="D64" s="258">
        <v>5</v>
      </c>
      <c r="E64" s="258">
        <v>2012</v>
      </c>
      <c r="F64" s="258">
        <v>15</v>
      </c>
      <c r="G64" s="258">
        <v>2017</v>
      </c>
      <c r="H64" s="259">
        <v>20</v>
      </c>
      <c r="I64" s="259">
        <v>25</v>
      </c>
      <c r="J64" s="259">
        <v>25</v>
      </c>
      <c r="K64" s="258" t="s">
        <v>737</v>
      </c>
      <c r="L64" s="258" t="s">
        <v>738</v>
      </c>
    </row>
    <row r="65" spans="1:12" ht="63.75" x14ac:dyDescent="0.2">
      <c r="A65" s="262" t="s">
        <v>739</v>
      </c>
      <c r="B65" s="257" t="s">
        <v>740</v>
      </c>
      <c r="C65" s="257" t="s">
        <v>741</v>
      </c>
      <c r="D65" s="272">
        <v>2000000</v>
      </c>
      <c r="E65" s="273">
        <v>2014</v>
      </c>
      <c r="F65" s="274">
        <v>5326089.92</v>
      </c>
      <c r="G65" s="273">
        <v>2017</v>
      </c>
      <c r="H65" s="274">
        <v>5326089.92</v>
      </c>
      <c r="I65" s="274">
        <v>5326089.92</v>
      </c>
      <c r="J65" s="274">
        <v>5326089.92</v>
      </c>
      <c r="K65" s="259" t="s">
        <v>742</v>
      </c>
      <c r="L65" s="257" t="s">
        <v>743</v>
      </c>
    </row>
    <row r="66" spans="1:12" ht="51" x14ac:dyDescent="0.2">
      <c r="A66" s="275" t="s">
        <v>744</v>
      </c>
      <c r="B66" s="276" t="s">
        <v>745</v>
      </c>
      <c r="C66" s="257" t="s">
        <v>746</v>
      </c>
      <c r="D66" s="259">
        <v>30</v>
      </c>
      <c r="E66" s="259">
        <v>2002</v>
      </c>
      <c r="F66" s="259" t="s">
        <v>528</v>
      </c>
      <c r="G66" s="259">
        <v>2017</v>
      </c>
      <c r="H66" s="259">
        <v>30</v>
      </c>
      <c r="I66" s="259">
        <v>30</v>
      </c>
      <c r="J66" s="259">
        <v>30</v>
      </c>
      <c r="K66" s="259" t="s">
        <v>747</v>
      </c>
      <c r="L66" s="257" t="s">
        <v>743</v>
      </c>
    </row>
    <row r="67" spans="1:12" ht="48" customHeight="1" x14ac:dyDescent="0.2">
      <c r="A67" s="275" t="s">
        <v>748</v>
      </c>
      <c r="B67" s="257" t="s">
        <v>749</v>
      </c>
      <c r="C67" s="257" t="s">
        <v>750</v>
      </c>
      <c r="D67" s="277">
        <v>75783</v>
      </c>
      <c r="E67" s="259">
        <v>2012</v>
      </c>
      <c r="F67" s="277">
        <v>80839</v>
      </c>
      <c r="G67" s="259">
        <v>2016</v>
      </c>
      <c r="H67" s="277">
        <v>85550</v>
      </c>
      <c r="I67" s="277">
        <v>90200</v>
      </c>
      <c r="J67" s="277">
        <v>96774</v>
      </c>
      <c r="K67" s="258" t="s">
        <v>751</v>
      </c>
      <c r="L67" s="257" t="s">
        <v>743</v>
      </c>
    </row>
  </sheetData>
  <mergeCells count="48">
    <mergeCell ref="A51:A52"/>
    <mergeCell ref="B51:B52"/>
    <mergeCell ref="A60:A61"/>
    <mergeCell ref="B60:B61"/>
    <mergeCell ref="A29:A30"/>
    <mergeCell ref="B29:B30"/>
    <mergeCell ref="A31:A32"/>
    <mergeCell ref="B31:B32"/>
    <mergeCell ref="A49:A50"/>
    <mergeCell ref="B49:B50"/>
    <mergeCell ref="A23:A24"/>
    <mergeCell ref="B23:B24"/>
    <mergeCell ref="A25:A26"/>
    <mergeCell ref="B25:B26"/>
    <mergeCell ref="A27:A28"/>
    <mergeCell ref="B27:B28"/>
    <mergeCell ref="A20:L20"/>
    <mergeCell ref="A21:B21"/>
    <mergeCell ref="D21:E21"/>
    <mergeCell ref="F21:G21"/>
    <mergeCell ref="H21:J21"/>
    <mergeCell ref="K21:K22"/>
    <mergeCell ref="L21:L22"/>
    <mergeCell ref="A13:A14"/>
    <mergeCell ref="B13:B14"/>
    <mergeCell ref="L13:L14"/>
    <mergeCell ref="A16:A17"/>
    <mergeCell ref="B16:B17"/>
    <mergeCell ref="L16:L17"/>
    <mergeCell ref="A9:A10"/>
    <mergeCell ref="B9:B10"/>
    <mergeCell ref="L9:L10"/>
    <mergeCell ref="A11:A12"/>
    <mergeCell ref="B11:B12"/>
    <mergeCell ref="L11:L12"/>
    <mergeCell ref="A5:A6"/>
    <mergeCell ref="B5:B6"/>
    <mergeCell ref="L5:L6"/>
    <mergeCell ref="A7:A8"/>
    <mergeCell ref="B7:B8"/>
    <mergeCell ref="L7:L8"/>
    <mergeCell ref="A2:L2"/>
    <mergeCell ref="A3:B3"/>
    <mergeCell ref="D3:E3"/>
    <mergeCell ref="F3:G3"/>
    <mergeCell ref="H3:J3"/>
    <mergeCell ref="K3:K4"/>
    <mergeCell ref="L3:L4"/>
  </mergeCells>
  <printOptions horizontalCentered="1"/>
  <pageMargins left="0.23622047244094491" right="0.23622047244094491" top="0.74803149606299213" bottom="0.74803149606299213" header="0.31496062992125984" footer="0.31496062992125984"/>
  <pageSetup paperSize="9" orientation="landscape" r:id="rId1"/>
  <headerFooter alignWithMargins="0">
    <oddHeader>&amp;C&amp;"Arial,Negrita"&amp;18PROYECTO DE PRESUPUESTO 2021</oddHeader>
    <oddFooter>&amp;L&amp;"Arial,Negrita"&amp;8PROYECTO DE PRESUPUESTO PARA EL AÑO FISCAL 2020
INFORMACIÓN PARA LA COMISIÓN DE PRESUPUESTO Y CUENTA GENERAL DE LA REPÚBLICA DEL CONGRESO DE LA REPÚBLICA</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Hoja15"/>
  <dimension ref="A1"/>
  <sheetViews>
    <sheetView workbookViewId="0"/>
  </sheetViews>
  <sheetFormatPr baseColWidth="10" defaultColWidth="10.7109375" defaultRowHeight="12.75" x14ac:dyDescent="0.2"/>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Hoja16"/>
  <dimension ref="A1"/>
  <sheetViews>
    <sheetView workbookViewId="0"/>
  </sheetViews>
  <sheetFormatPr baseColWidth="10" defaultColWidth="10.7109375" defaultRowHeight="12.75" x14ac:dyDescent="0.2"/>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tabColor theme="9" tint="-0.249977111117893"/>
  </sheetPr>
  <dimension ref="B2:H24"/>
  <sheetViews>
    <sheetView topLeftCell="A6" zoomScale="112" zoomScaleNormal="112" workbookViewId="0">
      <selection activeCell="E22" sqref="E22"/>
    </sheetView>
  </sheetViews>
  <sheetFormatPr baseColWidth="10" defaultColWidth="10.7109375" defaultRowHeight="12.75" x14ac:dyDescent="0.2"/>
  <cols>
    <col min="1" max="1" width="10.7109375" style="297"/>
    <col min="2" max="2" width="53" style="297" customWidth="1"/>
    <col min="3" max="3" width="17.85546875" style="297" customWidth="1"/>
    <col min="4" max="4" width="17.7109375" style="297" customWidth="1"/>
    <col min="5" max="5" width="17" style="297" customWidth="1"/>
    <col min="6" max="7" width="10.7109375" style="297"/>
    <col min="8" max="8" width="15.85546875" style="297" customWidth="1"/>
    <col min="9" max="16384" width="10.7109375" style="297"/>
  </cols>
  <sheetData>
    <row r="2" spans="2:8" ht="26.25" x14ac:dyDescent="0.4">
      <c r="B2" s="583" t="s">
        <v>765</v>
      </c>
      <c r="C2" s="583"/>
      <c r="D2" s="583"/>
      <c r="E2" s="583"/>
    </row>
    <row r="4" spans="2:8" x14ac:dyDescent="0.2">
      <c r="B4" s="298" t="s">
        <v>428</v>
      </c>
    </row>
    <row r="5" spans="2:8" x14ac:dyDescent="0.2">
      <c r="B5" s="219" t="s">
        <v>373</v>
      </c>
    </row>
    <row r="6" spans="2:8" s="301" customFormat="1" ht="36" customHeight="1" x14ac:dyDescent="0.2">
      <c r="B6" s="299" t="s">
        <v>359</v>
      </c>
      <c r="C6" s="300">
        <v>2019</v>
      </c>
      <c r="D6" s="300">
        <v>2020</v>
      </c>
      <c r="E6" s="300">
        <v>2021</v>
      </c>
    </row>
    <row r="7" spans="2:8" ht="24" customHeight="1" x14ac:dyDescent="0.2">
      <c r="B7" s="302" t="s">
        <v>356</v>
      </c>
      <c r="C7" s="303">
        <v>40053065</v>
      </c>
      <c r="D7" s="303">
        <v>53572983</v>
      </c>
      <c r="E7" s="303">
        <v>40139961</v>
      </c>
    </row>
    <row r="8" spans="2:8" ht="24" customHeight="1" x14ac:dyDescent="0.2">
      <c r="B8" s="302" t="s">
        <v>357</v>
      </c>
      <c r="C8" s="303">
        <v>68561093</v>
      </c>
      <c r="D8" s="303">
        <v>61329112</v>
      </c>
      <c r="E8" s="303">
        <v>70225373</v>
      </c>
    </row>
    <row r="9" spans="2:8" ht="24" customHeight="1" x14ac:dyDescent="0.2">
      <c r="B9" s="302" t="s">
        <v>358</v>
      </c>
      <c r="C9" s="303">
        <v>239978218</v>
      </c>
      <c r="D9" s="303">
        <v>234923460</v>
      </c>
      <c r="E9" s="303">
        <v>254888309</v>
      </c>
    </row>
    <row r="10" spans="2:8" s="306" customFormat="1" ht="28.35" customHeight="1" x14ac:dyDescent="0.2">
      <c r="B10" s="304" t="s">
        <v>350</v>
      </c>
      <c r="C10" s="305">
        <f>SUM(C7:C9)</f>
        <v>348592376</v>
      </c>
      <c r="D10" s="305">
        <f>SUM(D7:D9)</f>
        <v>349825555</v>
      </c>
      <c r="E10" s="305">
        <f>SUM(E7:E9)</f>
        <v>365253643</v>
      </c>
    </row>
    <row r="12" spans="2:8" s="301" customFormat="1" ht="36" customHeight="1" x14ac:dyDescent="0.2">
      <c r="B12" s="299" t="s">
        <v>360</v>
      </c>
      <c r="C12" s="300">
        <v>2019</v>
      </c>
      <c r="D12" s="300" t="s">
        <v>429</v>
      </c>
      <c r="E12" s="300" t="s">
        <v>430</v>
      </c>
    </row>
    <row r="13" spans="2:8" ht="24" customHeight="1" x14ac:dyDescent="0.2">
      <c r="B13" s="302" t="s">
        <v>356</v>
      </c>
      <c r="C13" s="303">
        <v>47047763</v>
      </c>
      <c r="D13" s="303">
        <v>49795547</v>
      </c>
      <c r="E13" s="303">
        <v>47808975.32104969</v>
      </c>
      <c r="F13" s="539"/>
      <c r="H13" s="539"/>
    </row>
    <row r="14" spans="2:8" ht="24" customHeight="1" x14ac:dyDescent="0.2">
      <c r="B14" s="302" t="s">
        <v>357</v>
      </c>
      <c r="C14" s="303">
        <v>83198900</v>
      </c>
      <c r="D14" s="303">
        <v>113077056</v>
      </c>
      <c r="E14" s="303">
        <v>76385101.659877107</v>
      </c>
      <c r="F14" s="539"/>
      <c r="H14" s="539"/>
    </row>
    <row r="15" spans="2:8" ht="24" customHeight="1" x14ac:dyDescent="0.2">
      <c r="B15" s="302" t="s">
        <v>358</v>
      </c>
      <c r="C15" s="303">
        <v>362088715</v>
      </c>
      <c r="D15" s="303">
        <v>221856702</v>
      </c>
      <c r="E15" s="303">
        <v>241059566.01907322</v>
      </c>
      <c r="F15" s="539"/>
      <c r="H15" s="539"/>
    </row>
    <row r="16" spans="2:8" s="306" customFormat="1" ht="28.35" customHeight="1" x14ac:dyDescent="0.2">
      <c r="B16" s="304" t="s">
        <v>351</v>
      </c>
      <c r="C16" s="305">
        <f>SUM(C13:C15)</f>
        <v>492335378</v>
      </c>
      <c r="D16" s="305">
        <f>SUM(D13:D15)</f>
        <v>384729305</v>
      </c>
      <c r="E16" s="305">
        <f>SUM(E13:E15)</f>
        <v>365253643</v>
      </c>
      <c r="H16" s="540"/>
    </row>
    <row r="18" spans="2:5" s="301" customFormat="1" ht="36" customHeight="1" x14ac:dyDescent="0.2">
      <c r="B18" s="299" t="s">
        <v>361</v>
      </c>
      <c r="C18" s="300">
        <v>2019</v>
      </c>
      <c r="D18" s="300" t="s">
        <v>429</v>
      </c>
      <c r="E18" s="300" t="s">
        <v>430</v>
      </c>
    </row>
    <row r="19" spans="2:5" ht="24" customHeight="1" x14ac:dyDescent="0.2">
      <c r="B19" s="302" t="s">
        <v>356</v>
      </c>
      <c r="C19" s="303">
        <v>40934133.030000001</v>
      </c>
      <c r="D19" s="303">
        <f>+D13</f>
        <v>49795547</v>
      </c>
      <c r="E19" s="303">
        <v>47808975.32104969</v>
      </c>
    </row>
    <row r="20" spans="2:5" ht="24" customHeight="1" x14ac:dyDescent="0.2">
      <c r="B20" s="302" t="s">
        <v>357</v>
      </c>
      <c r="C20" s="303">
        <v>75194983.25</v>
      </c>
      <c r="D20" s="303">
        <f>+D14</f>
        <v>113077056</v>
      </c>
      <c r="E20" s="303">
        <v>76385101.659877107</v>
      </c>
    </row>
    <row r="21" spans="2:5" ht="24" customHeight="1" x14ac:dyDescent="0.2">
      <c r="B21" s="302" t="s">
        <v>358</v>
      </c>
      <c r="C21" s="303">
        <f>314342355.68</f>
        <v>314342355.68000001</v>
      </c>
      <c r="D21" s="303">
        <f>+D15</f>
        <v>221856702</v>
      </c>
      <c r="E21" s="303">
        <v>241059566.01907322</v>
      </c>
    </row>
    <row r="22" spans="2:5" s="306" customFormat="1" ht="28.35" customHeight="1" x14ac:dyDescent="0.2">
      <c r="B22" s="304" t="s">
        <v>352</v>
      </c>
      <c r="C22" s="305">
        <f>SUM(C19:C21)</f>
        <v>430471471.96000004</v>
      </c>
      <c r="D22" s="305">
        <f>SUM(D19:D21)</f>
        <v>384729305</v>
      </c>
      <c r="E22" s="305">
        <f>SUM(E19:E21)</f>
        <v>365253643</v>
      </c>
    </row>
    <row r="23" spans="2:5" x14ac:dyDescent="0.2">
      <c r="B23" s="307" t="s">
        <v>431</v>
      </c>
    </row>
    <row r="24" spans="2:5" x14ac:dyDescent="0.2">
      <c r="B24" s="308" t="s">
        <v>432</v>
      </c>
    </row>
  </sheetData>
  <mergeCells count="1">
    <mergeCell ref="B2:E2"/>
  </mergeCells>
  <pageMargins left="0.7" right="0.34" top="0.75" bottom="0.75" header="0.3" footer="0.3"/>
  <pageSetup paperSize="9" scale="8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tabColor theme="9" tint="-0.249977111117893"/>
  </sheetPr>
  <dimension ref="A1:D276"/>
  <sheetViews>
    <sheetView view="pageLayout" topLeftCell="A268" zoomScale="178" zoomScaleNormal="100" zoomScalePageLayoutView="178" workbookViewId="0">
      <selection activeCell="C278" sqref="C278"/>
    </sheetView>
  </sheetViews>
  <sheetFormatPr baseColWidth="10" defaultColWidth="11.28515625" defaultRowHeight="12.75" x14ac:dyDescent="0.2"/>
  <cols>
    <col min="1" max="1" width="38.28515625" customWidth="1"/>
    <col min="2" max="2" width="16.5703125" customWidth="1"/>
    <col min="3" max="3" width="17.28515625" customWidth="1"/>
    <col min="4" max="4" width="18.28515625" customWidth="1"/>
  </cols>
  <sheetData>
    <row r="1" spans="1:4" x14ac:dyDescent="0.2">
      <c r="A1" s="107" t="s">
        <v>433</v>
      </c>
    </row>
    <row r="2" spans="1:4" x14ac:dyDescent="0.2">
      <c r="A2" s="108" t="s">
        <v>495</v>
      </c>
    </row>
    <row r="3" spans="1:4" s="123" customFormat="1" ht="28.35" customHeight="1" x14ac:dyDescent="0.2">
      <c r="A3" s="130" t="s">
        <v>355</v>
      </c>
      <c r="B3" s="131">
        <v>2019</v>
      </c>
      <c r="C3" s="131">
        <v>2020</v>
      </c>
      <c r="D3" s="131">
        <v>2021</v>
      </c>
    </row>
    <row r="4" spans="1:4" s="126" customFormat="1" x14ac:dyDescent="0.2">
      <c r="A4" s="127" t="s">
        <v>136</v>
      </c>
      <c r="B4" s="248">
        <f>SUM(B5:B10)</f>
        <v>206075896</v>
      </c>
      <c r="C4" s="248">
        <f>SUM(C5:C10)</f>
        <v>219592923</v>
      </c>
      <c r="D4" s="248">
        <v>217974108</v>
      </c>
    </row>
    <row r="5" spans="1:4" s="126" customFormat="1" x14ac:dyDescent="0.2">
      <c r="A5" s="124" t="s">
        <v>125</v>
      </c>
      <c r="B5" s="245">
        <v>0</v>
      </c>
      <c r="C5" s="245">
        <v>0</v>
      </c>
      <c r="D5" s="245"/>
    </row>
    <row r="6" spans="1:4" s="126" customFormat="1" x14ac:dyDescent="0.2">
      <c r="A6" s="124" t="s">
        <v>126</v>
      </c>
      <c r="B6" s="246">
        <v>144552864</v>
      </c>
      <c r="C6" s="246">
        <v>156522460</v>
      </c>
      <c r="D6" s="246">
        <v>169267864</v>
      </c>
    </row>
    <row r="7" spans="1:4" s="126" customFormat="1" x14ac:dyDescent="0.2">
      <c r="A7" s="124" t="s">
        <v>127</v>
      </c>
      <c r="B7" s="246">
        <v>6495117</v>
      </c>
      <c r="C7" s="246">
        <v>6529136</v>
      </c>
      <c r="D7" s="246">
        <v>6120865</v>
      </c>
    </row>
    <row r="8" spans="1:4" s="126" customFormat="1" x14ac:dyDescent="0.2">
      <c r="A8" s="124" t="s">
        <v>128</v>
      </c>
      <c r="B8" s="246">
        <v>53436916</v>
      </c>
      <c r="C8" s="246">
        <v>55185041</v>
      </c>
      <c r="D8" s="246">
        <v>41229093</v>
      </c>
    </row>
    <row r="9" spans="1:4" s="126" customFormat="1" x14ac:dyDescent="0.2">
      <c r="A9" s="124" t="s">
        <v>155</v>
      </c>
      <c r="B9" s="246">
        <v>1590999</v>
      </c>
      <c r="C9" s="246"/>
      <c r="D9" s="246"/>
    </row>
    <row r="10" spans="1:4" s="126" customFormat="1" x14ac:dyDescent="0.2">
      <c r="A10" s="124" t="s">
        <v>156</v>
      </c>
      <c r="B10" s="246">
        <v>0</v>
      </c>
      <c r="C10" s="246">
        <v>1356286</v>
      </c>
      <c r="D10" s="246">
        <v>1356286</v>
      </c>
    </row>
    <row r="11" spans="1:4" s="126" customFormat="1" x14ac:dyDescent="0.2">
      <c r="A11" s="127" t="s">
        <v>124</v>
      </c>
      <c r="B11" s="247">
        <f>SUM(B12:B15)</f>
        <v>126098975</v>
      </c>
      <c r="C11" s="247">
        <f>SUM(C12:C15)</f>
        <v>64907044</v>
      </c>
      <c r="D11" s="247">
        <v>27499083</v>
      </c>
    </row>
    <row r="12" spans="1:4" s="126" customFormat="1" x14ac:dyDescent="0.2">
      <c r="A12" s="124" t="s">
        <v>154</v>
      </c>
      <c r="B12" s="246"/>
      <c r="C12" s="246"/>
      <c r="D12" s="246"/>
    </row>
    <row r="13" spans="1:4" s="126" customFormat="1" x14ac:dyDescent="0.2">
      <c r="A13" s="124" t="s">
        <v>157</v>
      </c>
      <c r="B13" s="246"/>
      <c r="C13" s="246"/>
      <c r="D13" s="246"/>
    </row>
    <row r="14" spans="1:4" s="126" customFormat="1" x14ac:dyDescent="0.2">
      <c r="A14" s="124" t="s">
        <v>133</v>
      </c>
      <c r="B14" s="246">
        <v>126098975</v>
      </c>
      <c r="C14" s="246">
        <v>64907044</v>
      </c>
      <c r="D14" s="246">
        <v>27499083</v>
      </c>
    </row>
    <row r="15" spans="1:4" s="126" customFormat="1" x14ac:dyDescent="0.2">
      <c r="A15" s="124" t="s">
        <v>134</v>
      </c>
      <c r="B15" s="246"/>
      <c r="C15" s="246"/>
      <c r="D15" s="246"/>
    </row>
    <row r="16" spans="1:4" s="126" customFormat="1" x14ac:dyDescent="0.2">
      <c r="A16" s="127" t="s">
        <v>109</v>
      </c>
      <c r="B16" s="247">
        <f>SUM(B17)</f>
        <v>0</v>
      </c>
      <c r="C16" s="247">
        <f>SUM(C17)</f>
        <v>0</v>
      </c>
      <c r="D16" s="247"/>
    </row>
    <row r="17" spans="1:4" s="126" customFormat="1" x14ac:dyDescent="0.2">
      <c r="A17" s="124" t="s">
        <v>135</v>
      </c>
      <c r="B17" s="246"/>
      <c r="C17" s="246"/>
      <c r="D17" s="246"/>
    </row>
    <row r="18" spans="1:4" s="129" customFormat="1" ht="18" customHeight="1" x14ac:dyDescent="0.2">
      <c r="A18" s="128" t="s">
        <v>350</v>
      </c>
      <c r="B18" s="249">
        <f>B4+B11+B16</f>
        <v>332174871</v>
      </c>
      <c r="C18" s="249">
        <f>C4+C11+C16</f>
        <v>284499967</v>
      </c>
      <c r="D18" s="251">
        <f>D16+D11+D4</f>
        <v>245473191</v>
      </c>
    </row>
    <row r="20" spans="1:4" s="123" customFormat="1" ht="28.35" customHeight="1" x14ac:dyDescent="0.2">
      <c r="A20" s="130" t="s">
        <v>354</v>
      </c>
      <c r="B20" s="131">
        <v>2019</v>
      </c>
      <c r="C20" s="131" t="s">
        <v>501</v>
      </c>
      <c r="D20" s="131" t="s">
        <v>500</v>
      </c>
    </row>
    <row r="21" spans="1:4" s="126" customFormat="1" x14ac:dyDescent="0.2">
      <c r="A21" s="127" t="s">
        <v>136</v>
      </c>
      <c r="B21" s="248">
        <f>SUM(B22:B27)</f>
        <v>237801986</v>
      </c>
      <c r="C21" s="248">
        <f>SUM(C22:C27)</f>
        <v>253585455</v>
      </c>
      <c r="D21" s="248">
        <v>217974108</v>
      </c>
    </row>
    <row r="22" spans="1:4" s="126" customFormat="1" x14ac:dyDescent="0.2">
      <c r="A22" s="124" t="s">
        <v>125</v>
      </c>
      <c r="B22" s="245">
        <v>0</v>
      </c>
      <c r="C22" s="245">
        <v>0</v>
      </c>
      <c r="D22" s="245"/>
    </row>
    <row r="23" spans="1:4" s="126" customFormat="1" x14ac:dyDescent="0.2">
      <c r="A23" s="124" t="s">
        <v>126</v>
      </c>
      <c r="B23" s="245">
        <v>163988265</v>
      </c>
      <c r="C23" s="245">
        <v>175738911</v>
      </c>
      <c r="D23" s="245">
        <v>169267864</v>
      </c>
    </row>
    <row r="24" spans="1:4" s="126" customFormat="1" x14ac:dyDescent="0.2">
      <c r="A24" s="124" t="s">
        <v>127</v>
      </c>
      <c r="B24" s="245">
        <v>6463524</v>
      </c>
      <c r="C24" s="245">
        <v>6614554</v>
      </c>
      <c r="D24" s="245">
        <v>6120865</v>
      </c>
    </row>
    <row r="25" spans="1:4" s="126" customFormat="1" x14ac:dyDescent="0.2">
      <c r="A25" s="124" t="s">
        <v>128</v>
      </c>
      <c r="B25" s="245">
        <v>65051017</v>
      </c>
      <c r="C25" s="245">
        <v>66056980</v>
      </c>
      <c r="D25" s="245">
        <v>41229093</v>
      </c>
    </row>
    <row r="26" spans="1:4" s="126" customFormat="1" x14ac:dyDescent="0.2">
      <c r="A26" s="124" t="s">
        <v>155</v>
      </c>
      <c r="B26" s="245"/>
      <c r="C26" s="245"/>
      <c r="D26" s="245"/>
    </row>
    <row r="27" spans="1:4" s="126" customFormat="1" x14ac:dyDescent="0.2">
      <c r="A27" s="124" t="s">
        <v>156</v>
      </c>
      <c r="B27" s="245">
        <v>2299180</v>
      </c>
      <c r="C27" s="245">
        <v>5175010</v>
      </c>
      <c r="D27" s="245">
        <v>1356286</v>
      </c>
    </row>
    <row r="28" spans="1:4" s="126" customFormat="1" x14ac:dyDescent="0.2">
      <c r="A28" s="127" t="s">
        <v>124</v>
      </c>
      <c r="B28" s="248">
        <f>SUM(B29:B32)</f>
        <v>171283556</v>
      </c>
      <c r="C28" s="248">
        <f>SUM(C29:C31)</f>
        <v>109279650</v>
      </c>
      <c r="D28" s="248">
        <v>27499083</v>
      </c>
    </row>
    <row r="29" spans="1:4" s="126" customFormat="1" x14ac:dyDescent="0.2">
      <c r="A29" s="124" t="s">
        <v>154</v>
      </c>
      <c r="B29" s="245">
        <v>7368806</v>
      </c>
      <c r="C29" s="245"/>
      <c r="D29" s="245"/>
    </row>
    <row r="30" spans="1:4" s="126" customFormat="1" x14ac:dyDescent="0.2">
      <c r="A30" s="124" t="s">
        <v>157</v>
      </c>
      <c r="B30" s="245"/>
      <c r="C30" s="245"/>
      <c r="D30" s="245"/>
    </row>
    <row r="31" spans="1:4" s="126" customFormat="1" x14ac:dyDescent="0.2">
      <c r="A31" s="124" t="s">
        <v>133</v>
      </c>
      <c r="B31" s="245">
        <v>163914750</v>
      </c>
      <c r="C31" s="245">
        <v>109279650</v>
      </c>
      <c r="D31" s="245">
        <v>27499083</v>
      </c>
    </row>
    <row r="32" spans="1:4" s="126" customFormat="1" x14ac:dyDescent="0.2">
      <c r="A32" s="124" t="s">
        <v>134</v>
      </c>
      <c r="B32" s="245"/>
      <c r="C32" s="245"/>
      <c r="D32" s="245"/>
    </row>
    <row r="33" spans="1:4" s="126" customFormat="1" x14ac:dyDescent="0.2">
      <c r="A33" s="127" t="s">
        <v>109</v>
      </c>
      <c r="B33" s="127">
        <f>SUM(B34)</f>
        <v>0</v>
      </c>
      <c r="C33" s="127">
        <f>SUM(C34)</f>
        <v>0</v>
      </c>
      <c r="D33" s="127"/>
    </row>
    <row r="34" spans="1:4" s="126" customFormat="1" x14ac:dyDescent="0.2">
      <c r="A34" s="124" t="s">
        <v>135</v>
      </c>
      <c r="B34" s="125"/>
      <c r="C34" s="125"/>
      <c r="D34" s="125"/>
    </row>
    <row r="35" spans="1:4" s="129" customFormat="1" ht="18" customHeight="1" x14ac:dyDescent="0.2">
      <c r="A35" s="128" t="s">
        <v>351</v>
      </c>
      <c r="B35" s="250">
        <f>B21+B28+B33</f>
        <v>409085542</v>
      </c>
      <c r="C35" s="250">
        <f>C21+C28+C33</f>
        <v>362865105</v>
      </c>
      <c r="D35" s="252">
        <f>D33+D28+D21</f>
        <v>245473191</v>
      </c>
    </row>
    <row r="37" spans="1:4" s="123" customFormat="1" ht="28.35" customHeight="1" x14ac:dyDescent="0.2">
      <c r="A37" s="130" t="s">
        <v>353</v>
      </c>
      <c r="B37" s="131">
        <v>2019</v>
      </c>
      <c r="C37" s="131" t="s">
        <v>501</v>
      </c>
      <c r="D37" s="131" t="s">
        <v>500</v>
      </c>
    </row>
    <row r="38" spans="1:4" s="126" customFormat="1" x14ac:dyDescent="0.2">
      <c r="A38" s="127" t="s">
        <v>136</v>
      </c>
      <c r="B38" s="248">
        <f>SUM(B39:B44)</f>
        <v>173377473.88</v>
      </c>
      <c r="C38" s="248">
        <f>SUM(C39:C44)</f>
        <v>253585455</v>
      </c>
      <c r="D38" s="248">
        <v>217974108</v>
      </c>
    </row>
    <row r="39" spans="1:4" s="126" customFormat="1" x14ac:dyDescent="0.2">
      <c r="A39" s="124" t="s">
        <v>125</v>
      </c>
      <c r="B39" s="245"/>
      <c r="C39" s="245"/>
      <c r="D39" s="245"/>
    </row>
    <row r="40" spans="1:4" s="126" customFormat="1" x14ac:dyDescent="0.2">
      <c r="A40" s="124" t="s">
        <v>126</v>
      </c>
      <c r="B40" s="245">
        <v>130582286.01000001</v>
      </c>
      <c r="C40" s="245">
        <v>175738911</v>
      </c>
      <c r="D40" s="245">
        <v>169267864</v>
      </c>
    </row>
    <row r="41" spans="1:4" s="126" customFormat="1" x14ac:dyDescent="0.2">
      <c r="A41" s="124" t="s">
        <v>127</v>
      </c>
      <c r="B41" s="245">
        <v>4799202.74</v>
      </c>
      <c r="C41" s="245">
        <v>6614554</v>
      </c>
      <c r="D41" s="245">
        <v>6120865</v>
      </c>
    </row>
    <row r="42" spans="1:4" s="126" customFormat="1" x14ac:dyDescent="0.2">
      <c r="A42" s="124" t="s">
        <v>128</v>
      </c>
      <c r="B42" s="245">
        <v>36054964.329999998</v>
      </c>
      <c r="C42" s="245">
        <v>66056980</v>
      </c>
      <c r="D42" s="245">
        <v>41229093</v>
      </c>
    </row>
    <row r="43" spans="1:4" s="126" customFormat="1" x14ac:dyDescent="0.2">
      <c r="A43" s="124" t="s">
        <v>155</v>
      </c>
      <c r="B43" s="245"/>
      <c r="C43" s="245"/>
      <c r="D43" s="245"/>
    </row>
    <row r="44" spans="1:4" s="126" customFormat="1" x14ac:dyDescent="0.2">
      <c r="A44" s="124" t="s">
        <v>156</v>
      </c>
      <c r="B44" s="245">
        <v>1941020.8</v>
      </c>
      <c r="C44" s="245">
        <v>5175010</v>
      </c>
      <c r="D44" s="245">
        <v>1356286</v>
      </c>
    </row>
    <row r="45" spans="1:4" s="126" customFormat="1" x14ac:dyDescent="0.2">
      <c r="A45" s="127" t="s">
        <v>124</v>
      </c>
      <c r="B45" s="248">
        <f>SUM(B46:B49)</f>
        <v>94088770.5</v>
      </c>
      <c r="C45" s="248">
        <f>SUM(C46:C49)</f>
        <v>109279650</v>
      </c>
      <c r="D45" s="248">
        <v>27499083</v>
      </c>
    </row>
    <row r="46" spans="1:4" s="126" customFormat="1" x14ac:dyDescent="0.2">
      <c r="A46" s="124" t="s">
        <v>154</v>
      </c>
      <c r="B46" s="245">
        <v>7368805.9100000001</v>
      </c>
      <c r="C46" s="245"/>
      <c r="D46" s="245"/>
    </row>
    <row r="47" spans="1:4" s="126" customFormat="1" x14ac:dyDescent="0.2">
      <c r="A47" s="124" t="s">
        <v>157</v>
      </c>
      <c r="B47" s="245"/>
      <c r="C47" s="245"/>
      <c r="D47" s="245"/>
    </row>
    <row r="48" spans="1:4" s="126" customFormat="1" x14ac:dyDescent="0.2">
      <c r="A48" s="124" t="s">
        <v>133</v>
      </c>
      <c r="B48" s="245">
        <v>86719964.590000004</v>
      </c>
      <c r="C48" s="245">
        <v>109279650</v>
      </c>
      <c r="D48" s="245">
        <v>27499083</v>
      </c>
    </row>
    <row r="49" spans="1:4" s="126" customFormat="1" x14ac:dyDescent="0.2">
      <c r="A49" s="124" t="s">
        <v>134</v>
      </c>
      <c r="B49" s="245"/>
      <c r="C49" s="245"/>
      <c r="D49" s="245"/>
    </row>
    <row r="50" spans="1:4" s="126" customFormat="1" x14ac:dyDescent="0.2">
      <c r="A50" s="127" t="s">
        <v>109</v>
      </c>
      <c r="B50" s="248">
        <f>SUM(B51)</f>
        <v>0</v>
      </c>
      <c r="C50" s="248">
        <f>SUM(C51)</f>
        <v>0</v>
      </c>
      <c r="D50" s="127"/>
    </row>
    <row r="51" spans="1:4" s="126" customFormat="1" x14ac:dyDescent="0.2">
      <c r="A51" s="124" t="s">
        <v>135</v>
      </c>
      <c r="B51" s="245"/>
      <c r="C51" s="245"/>
      <c r="D51" s="245"/>
    </row>
    <row r="52" spans="1:4" s="129" customFormat="1" ht="18" customHeight="1" x14ac:dyDescent="0.2">
      <c r="A52" s="241" t="s">
        <v>352</v>
      </c>
      <c r="B52" s="250">
        <f>B38+B45+B50</f>
        <v>267466244.38</v>
      </c>
      <c r="C52" s="250">
        <f>SUM(C38+C45+C50)</f>
        <v>362865105</v>
      </c>
      <c r="D52" s="252">
        <f>D50+D45+D38</f>
        <v>245473191</v>
      </c>
    </row>
    <row r="53" spans="1:4" x14ac:dyDescent="0.2">
      <c r="A53" s="242" t="s">
        <v>431</v>
      </c>
    </row>
    <row r="54" spans="1:4" x14ac:dyDescent="0.2">
      <c r="A54" s="243" t="s">
        <v>432</v>
      </c>
    </row>
    <row r="55" spans="1:4" x14ac:dyDescent="0.2">
      <c r="A55" s="107" t="s">
        <v>433</v>
      </c>
    </row>
    <row r="56" spans="1:4" x14ac:dyDescent="0.2">
      <c r="A56" s="108" t="s">
        <v>496</v>
      </c>
    </row>
    <row r="57" spans="1:4" ht="25.5" x14ac:dyDescent="0.2">
      <c r="A57" s="130" t="s">
        <v>355</v>
      </c>
      <c r="B57" s="131">
        <v>2019</v>
      </c>
      <c r="C57" s="131">
        <v>2020</v>
      </c>
      <c r="D57" s="131">
        <v>2021</v>
      </c>
    </row>
    <row r="58" spans="1:4" x14ac:dyDescent="0.2">
      <c r="A58" s="127" t="s">
        <v>136</v>
      </c>
      <c r="B58" s="248">
        <f>SUM(B59:B64)</f>
        <v>9351332</v>
      </c>
      <c r="C58" s="248">
        <f>SUM(C59:C64)</f>
        <v>10903497</v>
      </c>
      <c r="D58" s="248">
        <v>9560576</v>
      </c>
    </row>
    <row r="59" spans="1:4" x14ac:dyDescent="0.2">
      <c r="A59" s="124" t="s">
        <v>125</v>
      </c>
      <c r="B59" s="245">
        <v>0</v>
      </c>
      <c r="C59" s="245">
        <v>0</v>
      </c>
      <c r="D59" s="245"/>
    </row>
    <row r="60" spans="1:4" x14ac:dyDescent="0.2">
      <c r="A60" s="124" t="s">
        <v>126</v>
      </c>
      <c r="B60" s="246">
        <v>7999</v>
      </c>
      <c r="C60" s="246"/>
      <c r="D60" s="246"/>
    </row>
    <row r="61" spans="1:4" x14ac:dyDescent="0.2">
      <c r="A61" s="124" t="s">
        <v>127</v>
      </c>
      <c r="B61" s="246"/>
      <c r="C61" s="246"/>
      <c r="D61" s="246"/>
    </row>
    <row r="62" spans="1:4" x14ac:dyDescent="0.2">
      <c r="A62" s="124" t="s">
        <v>128</v>
      </c>
      <c r="B62" s="246">
        <v>9319033</v>
      </c>
      <c r="C62" s="246">
        <v>10893469</v>
      </c>
      <c r="D62" s="246">
        <v>9540548</v>
      </c>
    </row>
    <row r="63" spans="1:4" x14ac:dyDescent="0.2">
      <c r="A63" s="124" t="s">
        <v>155</v>
      </c>
      <c r="B63" s="246"/>
      <c r="C63" s="246"/>
      <c r="D63" s="246"/>
    </row>
    <row r="64" spans="1:4" x14ac:dyDescent="0.2">
      <c r="A64" s="124" t="s">
        <v>156</v>
      </c>
      <c r="B64" s="246">
        <v>24300</v>
      </c>
      <c r="C64" s="246">
        <v>10028</v>
      </c>
      <c r="D64" s="246">
        <v>10028</v>
      </c>
    </row>
    <row r="65" spans="1:4" x14ac:dyDescent="0.2">
      <c r="A65" s="127" t="s">
        <v>124</v>
      </c>
      <c r="B65" s="247">
        <f>SUM(B66:B69)</f>
        <v>2841997</v>
      </c>
      <c r="C65" s="247">
        <f>SUM(C66:C69)</f>
        <v>470031</v>
      </c>
      <c r="D65" s="247"/>
    </row>
    <row r="66" spans="1:4" x14ac:dyDescent="0.2">
      <c r="A66" s="124" t="s">
        <v>154</v>
      </c>
      <c r="B66" s="246"/>
      <c r="C66" s="246"/>
      <c r="D66" s="246"/>
    </row>
    <row r="67" spans="1:4" x14ac:dyDescent="0.2">
      <c r="A67" s="124" t="s">
        <v>157</v>
      </c>
      <c r="B67" s="246"/>
      <c r="C67" s="246"/>
      <c r="D67" s="246"/>
    </row>
    <row r="68" spans="1:4" x14ac:dyDescent="0.2">
      <c r="A68" s="124" t="s">
        <v>133</v>
      </c>
      <c r="B68" s="246">
        <v>2841997</v>
      </c>
      <c r="C68" s="246">
        <v>470031</v>
      </c>
      <c r="D68" s="246"/>
    </row>
    <row r="69" spans="1:4" x14ac:dyDescent="0.2">
      <c r="A69" s="124" t="s">
        <v>134</v>
      </c>
      <c r="B69" s="246"/>
      <c r="C69" s="246"/>
      <c r="D69" s="246"/>
    </row>
    <row r="70" spans="1:4" x14ac:dyDescent="0.2">
      <c r="A70" s="127" t="s">
        <v>109</v>
      </c>
      <c r="B70" s="247">
        <f>SUM(B71)</f>
        <v>0</v>
      </c>
      <c r="C70" s="247">
        <f>SUM(C71)</f>
        <v>0</v>
      </c>
      <c r="D70" s="247"/>
    </row>
    <row r="71" spans="1:4" x14ac:dyDescent="0.2">
      <c r="A71" s="124" t="s">
        <v>135</v>
      </c>
      <c r="B71" s="246"/>
      <c r="C71" s="246"/>
      <c r="D71" s="246"/>
    </row>
    <row r="72" spans="1:4" x14ac:dyDescent="0.2">
      <c r="A72" s="128" t="s">
        <v>350</v>
      </c>
      <c r="B72" s="249">
        <f>B58+B65+B70</f>
        <v>12193329</v>
      </c>
      <c r="C72" s="249">
        <f>C58+C65+C70</f>
        <v>11373528</v>
      </c>
      <c r="D72" s="251">
        <f>D70+D65+D58</f>
        <v>9560576</v>
      </c>
    </row>
    <row r="74" spans="1:4" ht="25.5" x14ac:dyDescent="0.2">
      <c r="A74" s="130" t="s">
        <v>354</v>
      </c>
      <c r="B74" s="131">
        <v>2019</v>
      </c>
      <c r="C74" s="131" t="s">
        <v>502</v>
      </c>
      <c r="D74" s="131" t="s">
        <v>500</v>
      </c>
    </row>
    <row r="75" spans="1:4" x14ac:dyDescent="0.2">
      <c r="A75" s="127" t="s">
        <v>136</v>
      </c>
      <c r="B75" s="248">
        <f>SUM(B76:B81)</f>
        <v>12008972</v>
      </c>
      <c r="C75" s="248">
        <f>SUM(C76:C81)</f>
        <v>12008877</v>
      </c>
      <c r="D75" s="248">
        <v>9560576</v>
      </c>
    </row>
    <row r="76" spans="1:4" x14ac:dyDescent="0.2">
      <c r="A76" s="124" t="s">
        <v>125</v>
      </c>
      <c r="B76" s="245">
        <v>0</v>
      </c>
      <c r="C76" s="245">
        <v>0</v>
      </c>
      <c r="D76" s="245"/>
    </row>
    <row r="77" spans="1:4" x14ac:dyDescent="0.2">
      <c r="A77" s="124" t="s">
        <v>126</v>
      </c>
      <c r="B77" s="245">
        <v>12240</v>
      </c>
      <c r="C77" s="245"/>
      <c r="D77" s="245"/>
    </row>
    <row r="78" spans="1:4" x14ac:dyDescent="0.2">
      <c r="A78" s="124" t="s">
        <v>127</v>
      </c>
      <c r="B78" s="245"/>
      <c r="C78" s="245"/>
      <c r="D78" s="245"/>
    </row>
    <row r="79" spans="1:4" x14ac:dyDescent="0.2">
      <c r="A79" s="124" t="s">
        <v>128</v>
      </c>
      <c r="B79" s="245">
        <v>11624484</v>
      </c>
      <c r="C79" s="245">
        <v>11971689</v>
      </c>
      <c r="D79" s="245">
        <v>9550548</v>
      </c>
    </row>
    <row r="80" spans="1:4" x14ac:dyDescent="0.2">
      <c r="A80" s="124" t="s">
        <v>155</v>
      </c>
      <c r="B80" s="245">
        <v>226920</v>
      </c>
      <c r="C80" s="245"/>
      <c r="D80" s="245"/>
    </row>
    <row r="81" spans="1:4" x14ac:dyDescent="0.2">
      <c r="A81" s="124" t="s">
        <v>156</v>
      </c>
      <c r="B81" s="245">
        <v>145328</v>
      </c>
      <c r="C81" s="245">
        <v>37188</v>
      </c>
      <c r="D81" s="245">
        <v>10028</v>
      </c>
    </row>
    <row r="82" spans="1:4" x14ac:dyDescent="0.2">
      <c r="A82" s="127" t="s">
        <v>124</v>
      </c>
      <c r="B82" s="248">
        <f>SUM(B83:B86)</f>
        <v>3175068</v>
      </c>
      <c r="C82" s="248">
        <f>SUM(C83:C85)</f>
        <v>718029</v>
      </c>
      <c r="D82" s="248"/>
    </row>
    <row r="83" spans="1:4" x14ac:dyDescent="0.2">
      <c r="A83" s="124" t="s">
        <v>154</v>
      </c>
      <c r="B83" s="245"/>
      <c r="C83" s="245"/>
      <c r="D83" s="245"/>
    </row>
    <row r="84" spans="1:4" x14ac:dyDescent="0.2">
      <c r="A84" s="124" t="s">
        <v>157</v>
      </c>
      <c r="B84" s="245"/>
      <c r="C84" s="245"/>
      <c r="D84" s="245"/>
    </row>
    <row r="85" spans="1:4" x14ac:dyDescent="0.2">
      <c r="A85" s="124" t="s">
        <v>133</v>
      </c>
      <c r="B85" s="245">
        <v>3175068</v>
      </c>
      <c r="C85" s="245">
        <v>718029</v>
      </c>
      <c r="D85" s="245"/>
    </row>
    <row r="86" spans="1:4" x14ac:dyDescent="0.2">
      <c r="A86" s="124" t="s">
        <v>134</v>
      </c>
      <c r="B86" s="245"/>
      <c r="C86" s="245"/>
      <c r="D86" s="245"/>
    </row>
    <row r="87" spans="1:4" x14ac:dyDescent="0.2">
      <c r="A87" s="127" t="s">
        <v>109</v>
      </c>
      <c r="B87" s="127">
        <f>SUM(B88)</f>
        <v>0</v>
      </c>
      <c r="C87" s="127">
        <f>SUM(C88)</f>
        <v>0</v>
      </c>
      <c r="D87" s="127"/>
    </row>
    <row r="88" spans="1:4" x14ac:dyDescent="0.2">
      <c r="A88" s="124" t="s">
        <v>135</v>
      </c>
      <c r="B88" s="125"/>
      <c r="C88" s="125"/>
      <c r="D88" s="125"/>
    </row>
    <row r="89" spans="1:4" x14ac:dyDescent="0.2">
      <c r="A89" s="128" t="s">
        <v>351</v>
      </c>
      <c r="B89" s="250">
        <f>B75+B82+B87</f>
        <v>15184040</v>
      </c>
      <c r="C89" s="250">
        <f>C75+C82+C87</f>
        <v>12726906</v>
      </c>
      <c r="D89" s="252">
        <f>D87+D82+D75</f>
        <v>9560576</v>
      </c>
    </row>
    <row r="91" spans="1:4" ht="25.5" x14ac:dyDescent="0.2">
      <c r="A91" s="130" t="s">
        <v>353</v>
      </c>
      <c r="B91" s="131">
        <v>2019</v>
      </c>
      <c r="C91" s="131">
        <v>2020</v>
      </c>
      <c r="D91" s="131">
        <v>2021</v>
      </c>
    </row>
    <row r="92" spans="1:4" x14ac:dyDescent="0.2">
      <c r="A92" s="127" t="s">
        <v>136</v>
      </c>
      <c r="B92" s="248">
        <f>SUM(B93:B98)</f>
        <v>6467362.7599999998</v>
      </c>
      <c r="C92" s="248">
        <f>SUM(C93:C98)</f>
        <v>12008877</v>
      </c>
      <c r="D92" s="248">
        <v>9560576</v>
      </c>
    </row>
    <row r="93" spans="1:4" x14ac:dyDescent="0.2">
      <c r="A93" s="124" t="s">
        <v>125</v>
      </c>
      <c r="B93" s="245"/>
      <c r="C93" s="245"/>
      <c r="D93" s="245"/>
    </row>
    <row r="94" spans="1:4" x14ac:dyDescent="0.2">
      <c r="A94" s="124" t="s">
        <v>126</v>
      </c>
      <c r="B94" s="245">
        <v>4240.91</v>
      </c>
      <c r="C94" s="245"/>
      <c r="D94" s="245"/>
    </row>
    <row r="95" spans="1:4" x14ac:dyDescent="0.2">
      <c r="A95" s="124" t="s">
        <v>127</v>
      </c>
      <c r="B95" s="245"/>
      <c r="C95" s="245"/>
      <c r="D95" s="245"/>
    </row>
    <row r="96" spans="1:4" x14ac:dyDescent="0.2">
      <c r="A96" s="124" t="s">
        <v>128</v>
      </c>
      <c r="B96" s="245">
        <v>6139253.9199999999</v>
      </c>
      <c r="C96" s="245">
        <v>11971689</v>
      </c>
      <c r="D96" s="245">
        <v>9550548</v>
      </c>
    </row>
    <row r="97" spans="1:4" x14ac:dyDescent="0.2">
      <c r="A97" s="124" t="s">
        <v>155</v>
      </c>
      <c r="B97" s="245">
        <v>226920</v>
      </c>
      <c r="C97" s="245"/>
      <c r="D97" s="245"/>
    </row>
    <row r="98" spans="1:4" x14ac:dyDescent="0.2">
      <c r="A98" s="124" t="s">
        <v>156</v>
      </c>
      <c r="B98" s="245">
        <v>96947.93</v>
      </c>
      <c r="C98" s="245">
        <v>37188</v>
      </c>
      <c r="D98" s="245">
        <v>10028</v>
      </c>
    </row>
    <row r="99" spans="1:4" x14ac:dyDescent="0.2">
      <c r="A99" s="127" t="s">
        <v>124</v>
      </c>
      <c r="B99" s="248">
        <f>SUM(B100:B103)</f>
        <v>225461.99</v>
      </c>
      <c r="C99" s="248">
        <f>SUM(C100:C103)</f>
        <v>718029</v>
      </c>
      <c r="D99" s="248"/>
    </row>
    <row r="100" spans="1:4" x14ac:dyDescent="0.2">
      <c r="A100" s="124" t="s">
        <v>154</v>
      </c>
      <c r="B100" s="245"/>
      <c r="C100" s="245"/>
      <c r="D100" s="245"/>
    </row>
    <row r="101" spans="1:4" x14ac:dyDescent="0.2">
      <c r="A101" s="124" t="s">
        <v>157</v>
      </c>
      <c r="B101" s="245"/>
      <c r="C101" s="245"/>
      <c r="D101" s="245"/>
    </row>
    <row r="102" spans="1:4" x14ac:dyDescent="0.2">
      <c r="A102" s="124" t="s">
        <v>133</v>
      </c>
      <c r="B102" s="245">
        <v>225461.99</v>
      </c>
      <c r="C102" s="245">
        <v>718029</v>
      </c>
      <c r="D102" s="245"/>
    </row>
    <row r="103" spans="1:4" x14ac:dyDescent="0.2">
      <c r="A103" s="124" t="s">
        <v>134</v>
      </c>
      <c r="B103" s="245"/>
      <c r="C103" s="245"/>
      <c r="D103" s="245"/>
    </row>
    <row r="104" spans="1:4" x14ac:dyDescent="0.2">
      <c r="A104" s="127" t="s">
        <v>109</v>
      </c>
      <c r="B104" s="248">
        <f>SUM(B105)</f>
        <v>0</v>
      </c>
      <c r="C104" s="248">
        <f>SUM(C105)</f>
        <v>0</v>
      </c>
      <c r="D104" s="127"/>
    </row>
    <row r="105" spans="1:4" x14ac:dyDescent="0.2">
      <c r="A105" s="124" t="s">
        <v>135</v>
      </c>
      <c r="B105" s="245"/>
      <c r="C105" s="245"/>
      <c r="D105" s="245"/>
    </row>
    <row r="106" spans="1:4" x14ac:dyDescent="0.2">
      <c r="A106" s="241" t="s">
        <v>352</v>
      </c>
      <c r="B106" s="250">
        <f>B92+B99+B104</f>
        <v>6692824.75</v>
      </c>
      <c r="C106" s="250">
        <f>C99+C92</f>
        <v>12726906</v>
      </c>
      <c r="D106" s="252">
        <f>D92+D99+D104</f>
        <v>9560576</v>
      </c>
    </row>
    <row r="107" spans="1:4" x14ac:dyDescent="0.2">
      <c r="A107" s="242" t="s">
        <v>431</v>
      </c>
    </row>
    <row r="108" spans="1:4" x14ac:dyDescent="0.2">
      <c r="A108" s="243" t="s">
        <v>432</v>
      </c>
    </row>
    <row r="111" spans="1:4" x14ac:dyDescent="0.2">
      <c r="A111" s="107" t="s">
        <v>433</v>
      </c>
    </row>
    <row r="112" spans="1:4" x14ac:dyDescent="0.2">
      <c r="A112" s="108" t="s">
        <v>497</v>
      </c>
    </row>
    <row r="113" spans="1:4" ht="25.5" x14ac:dyDescent="0.2">
      <c r="A113" s="130" t="s">
        <v>355</v>
      </c>
      <c r="B113" s="131">
        <v>2019</v>
      </c>
      <c r="C113" s="131">
        <v>2020</v>
      </c>
      <c r="D113" s="131">
        <v>2021</v>
      </c>
    </row>
    <row r="114" spans="1:4" x14ac:dyDescent="0.2">
      <c r="A114" s="127" t="s">
        <v>136</v>
      </c>
      <c r="B114" s="248">
        <f>SUM(B115:B120)</f>
        <v>0</v>
      </c>
      <c r="C114" s="248">
        <f>SUM(C115:C120)</f>
        <v>0</v>
      </c>
      <c r="D114" s="248">
        <f>SUM(D115:D120)</f>
        <v>0</v>
      </c>
    </row>
    <row r="115" spans="1:4" x14ac:dyDescent="0.2">
      <c r="A115" s="124" t="s">
        <v>125</v>
      </c>
      <c r="B115" s="245">
        <v>0</v>
      </c>
      <c r="C115" s="245">
        <v>0</v>
      </c>
      <c r="D115" s="245"/>
    </row>
    <row r="116" spans="1:4" x14ac:dyDescent="0.2">
      <c r="A116" s="124" t="s">
        <v>126</v>
      </c>
      <c r="B116" s="246"/>
      <c r="C116" s="246"/>
      <c r="D116" s="246"/>
    </row>
    <row r="117" spans="1:4" x14ac:dyDescent="0.2">
      <c r="A117" s="124" t="s">
        <v>127</v>
      </c>
      <c r="B117" s="246"/>
      <c r="C117" s="246"/>
      <c r="D117" s="246"/>
    </row>
    <row r="118" spans="1:4" x14ac:dyDescent="0.2">
      <c r="A118" s="124" t="s">
        <v>128</v>
      </c>
      <c r="B118" s="246"/>
      <c r="C118" s="246"/>
      <c r="D118" s="246"/>
    </row>
    <row r="119" spans="1:4" x14ac:dyDescent="0.2">
      <c r="A119" s="124" t="s">
        <v>155</v>
      </c>
      <c r="B119" s="246"/>
      <c r="C119" s="246"/>
      <c r="D119" s="246"/>
    </row>
    <row r="120" spans="1:4" x14ac:dyDescent="0.2">
      <c r="A120" s="124" t="s">
        <v>156</v>
      </c>
      <c r="B120" s="246"/>
      <c r="C120" s="246"/>
      <c r="D120" s="246"/>
    </row>
    <row r="121" spans="1:4" x14ac:dyDescent="0.2">
      <c r="A121" s="127" t="s">
        <v>124</v>
      </c>
      <c r="B121" s="247">
        <f>SUM(B122:B125)</f>
        <v>0</v>
      </c>
      <c r="C121" s="247">
        <f>SUM(C122:C125)</f>
        <v>0</v>
      </c>
      <c r="D121" s="247">
        <v>90351410</v>
      </c>
    </row>
    <row r="122" spans="1:4" x14ac:dyDescent="0.2">
      <c r="A122" s="124" t="s">
        <v>154</v>
      </c>
      <c r="B122" s="246"/>
      <c r="C122" s="246"/>
      <c r="D122" s="246"/>
    </row>
    <row r="123" spans="1:4" x14ac:dyDescent="0.2">
      <c r="A123" s="124" t="s">
        <v>157</v>
      </c>
      <c r="B123" s="246"/>
      <c r="C123" s="246"/>
      <c r="D123" s="246"/>
    </row>
    <row r="124" spans="1:4" x14ac:dyDescent="0.2">
      <c r="A124" s="124" t="s">
        <v>133</v>
      </c>
      <c r="B124" s="246"/>
      <c r="C124" s="246"/>
      <c r="D124" s="246">
        <v>90351410</v>
      </c>
    </row>
    <row r="125" spans="1:4" x14ac:dyDescent="0.2">
      <c r="A125" s="124" t="s">
        <v>134</v>
      </c>
      <c r="B125" s="246"/>
      <c r="C125" s="246"/>
      <c r="D125" s="246"/>
    </row>
    <row r="126" spans="1:4" x14ac:dyDescent="0.2">
      <c r="A126" s="127" t="s">
        <v>109</v>
      </c>
      <c r="B126" s="247">
        <f>SUM(B127)</f>
        <v>0</v>
      </c>
      <c r="C126" s="247">
        <f>SUM(C127)</f>
        <v>0</v>
      </c>
      <c r="D126" s="247"/>
    </row>
    <row r="127" spans="1:4" x14ac:dyDescent="0.2">
      <c r="A127" s="124" t="s">
        <v>135</v>
      </c>
      <c r="B127" s="246"/>
      <c r="C127" s="246"/>
      <c r="D127" s="246"/>
    </row>
    <row r="128" spans="1:4" x14ac:dyDescent="0.2">
      <c r="A128" s="128" t="s">
        <v>350</v>
      </c>
      <c r="B128" s="249">
        <f>B114+B121+B126</f>
        <v>0</v>
      </c>
      <c r="C128" s="249">
        <f>C114+C121+C126</f>
        <v>0</v>
      </c>
      <c r="D128" s="251">
        <f>D126+D121+D114</f>
        <v>90351410</v>
      </c>
    </row>
    <row r="130" spans="1:4" ht="25.5" x14ac:dyDescent="0.2">
      <c r="A130" s="130" t="s">
        <v>354</v>
      </c>
      <c r="B130" s="131">
        <v>2019</v>
      </c>
      <c r="C130" s="131" t="s">
        <v>501</v>
      </c>
      <c r="D130" s="131" t="s">
        <v>503</v>
      </c>
    </row>
    <row r="131" spans="1:4" x14ac:dyDescent="0.2">
      <c r="A131" s="127" t="s">
        <v>136</v>
      </c>
      <c r="B131" s="248">
        <f>SUM(B132:B137)</f>
        <v>0</v>
      </c>
      <c r="C131" s="248">
        <f>SUM(C132:C137)</f>
        <v>1339034</v>
      </c>
      <c r="D131" s="248">
        <f>SUM(D132:D137)</f>
        <v>0</v>
      </c>
    </row>
    <row r="132" spans="1:4" x14ac:dyDescent="0.2">
      <c r="A132" s="124" t="s">
        <v>125</v>
      </c>
      <c r="B132" s="245">
        <v>0</v>
      </c>
      <c r="C132" s="245">
        <v>0</v>
      </c>
      <c r="D132" s="245"/>
    </row>
    <row r="133" spans="1:4" x14ac:dyDescent="0.2">
      <c r="A133" s="124" t="s">
        <v>126</v>
      </c>
      <c r="B133" s="245"/>
      <c r="C133" s="245">
        <v>295920</v>
      </c>
      <c r="D133" s="245"/>
    </row>
    <row r="134" spans="1:4" x14ac:dyDescent="0.2">
      <c r="A134" s="124" t="s">
        <v>127</v>
      </c>
      <c r="B134" s="245"/>
      <c r="C134" s="245"/>
      <c r="D134" s="245"/>
    </row>
    <row r="135" spans="1:4" x14ac:dyDescent="0.2">
      <c r="A135" s="124" t="s">
        <v>128</v>
      </c>
      <c r="B135" s="245"/>
      <c r="C135" s="245">
        <v>1043114</v>
      </c>
      <c r="D135" s="245"/>
    </row>
    <row r="136" spans="1:4" x14ac:dyDescent="0.2">
      <c r="A136" s="124" t="s">
        <v>155</v>
      </c>
      <c r="B136" s="245"/>
      <c r="C136" s="245"/>
      <c r="D136" s="245"/>
    </row>
    <row r="137" spans="1:4" x14ac:dyDescent="0.2">
      <c r="A137" s="124" t="s">
        <v>156</v>
      </c>
      <c r="B137" s="245"/>
      <c r="C137" s="245"/>
      <c r="D137" s="245"/>
    </row>
    <row r="138" spans="1:4" x14ac:dyDescent="0.2">
      <c r="A138" s="127" t="s">
        <v>124</v>
      </c>
      <c r="B138" s="248">
        <f>SUM(B139:B142)</f>
        <v>39245748</v>
      </c>
      <c r="C138" s="248">
        <f>SUM(C139:C141)</f>
        <v>7779935</v>
      </c>
      <c r="D138" s="248">
        <v>90351410</v>
      </c>
    </row>
    <row r="139" spans="1:4" x14ac:dyDescent="0.2">
      <c r="A139" s="124" t="s">
        <v>154</v>
      </c>
      <c r="B139" s="245"/>
      <c r="C139" s="245"/>
      <c r="D139" s="245"/>
    </row>
    <row r="140" spans="1:4" x14ac:dyDescent="0.2">
      <c r="A140" s="124" t="s">
        <v>157</v>
      </c>
      <c r="B140" s="245"/>
      <c r="C140" s="245"/>
      <c r="D140" s="245"/>
    </row>
    <row r="141" spans="1:4" x14ac:dyDescent="0.2">
      <c r="A141" s="124" t="s">
        <v>133</v>
      </c>
      <c r="B141" s="245">
        <v>39245748</v>
      </c>
      <c r="C141" s="245">
        <v>7779935</v>
      </c>
      <c r="D141" s="245">
        <v>90351410</v>
      </c>
    </row>
    <row r="142" spans="1:4" x14ac:dyDescent="0.2">
      <c r="A142" s="124" t="s">
        <v>134</v>
      </c>
      <c r="B142" s="245"/>
      <c r="C142" s="245"/>
      <c r="D142" s="245"/>
    </row>
    <row r="143" spans="1:4" x14ac:dyDescent="0.2">
      <c r="A143" s="127" t="s">
        <v>109</v>
      </c>
      <c r="B143" s="127">
        <f>SUM(B144)</f>
        <v>0</v>
      </c>
      <c r="C143" s="127">
        <f>SUM(C144)</f>
        <v>0</v>
      </c>
      <c r="D143" s="127"/>
    </row>
    <row r="144" spans="1:4" x14ac:dyDescent="0.2">
      <c r="A144" s="124" t="s">
        <v>135</v>
      </c>
      <c r="B144" s="125"/>
      <c r="C144" s="125"/>
      <c r="D144" s="125"/>
    </row>
    <row r="145" spans="1:4" x14ac:dyDescent="0.2">
      <c r="A145" s="128" t="s">
        <v>351</v>
      </c>
      <c r="B145" s="250">
        <f>B131+B138+B143</f>
        <v>39245748</v>
      </c>
      <c r="C145" s="250">
        <f>C131+C138+C143</f>
        <v>9118969</v>
      </c>
      <c r="D145" s="252">
        <f>D138+D131</f>
        <v>90351410</v>
      </c>
    </row>
    <row r="147" spans="1:4" ht="25.5" x14ac:dyDescent="0.2">
      <c r="A147" s="130" t="s">
        <v>353</v>
      </c>
      <c r="B147" s="131">
        <v>2019</v>
      </c>
      <c r="C147" s="131" t="s">
        <v>502</v>
      </c>
      <c r="D147" s="131" t="s">
        <v>500</v>
      </c>
    </row>
    <row r="148" spans="1:4" x14ac:dyDescent="0.2">
      <c r="A148" s="127" t="s">
        <v>136</v>
      </c>
      <c r="B148" s="248">
        <f>SUM(B149:B154)</f>
        <v>0</v>
      </c>
      <c r="C148" s="248">
        <f>SUM(C149:C154)</f>
        <v>1339034</v>
      </c>
      <c r="D148" s="248">
        <f>SUM(D149:D154)</f>
        <v>0</v>
      </c>
    </row>
    <row r="149" spans="1:4" x14ac:dyDescent="0.2">
      <c r="A149" s="124" t="s">
        <v>125</v>
      </c>
      <c r="B149" s="245"/>
      <c r="C149" s="245">
        <v>0</v>
      </c>
      <c r="D149" s="245"/>
    </row>
    <row r="150" spans="1:4" x14ac:dyDescent="0.2">
      <c r="A150" s="124" t="s">
        <v>126</v>
      </c>
      <c r="B150" s="245"/>
      <c r="C150" s="245">
        <v>295920</v>
      </c>
      <c r="D150" s="245"/>
    </row>
    <row r="151" spans="1:4" x14ac:dyDescent="0.2">
      <c r="A151" s="124" t="s">
        <v>127</v>
      </c>
      <c r="B151" s="245"/>
      <c r="C151" s="245"/>
      <c r="D151" s="245"/>
    </row>
    <row r="152" spans="1:4" x14ac:dyDescent="0.2">
      <c r="A152" s="124" t="s">
        <v>128</v>
      </c>
      <c r="B152" s="245"/>
      <c r="C152" s="245">
        <v>1043114</v>
      </c>
      <c r="D152" s="245"/>
    </row>
    <row r="153" spans="1:4" x14ac:dyDescent="0.2">
      <c r="A153" s="124" t="s">
        <v>155</v>
      </c>
      <c r="B153" s="245"/>
      <c r="C153" s="245"/>
      <c r="D153" s="245"/>
    </row>
    <row r="154" spans="1:4" x14ac:dyDescent="0.2">
      <c r="A154" s="124" t="s">
        <v>156</v>
      </c>
      <c r="B154" s="245"/>
      <c r="C154" s="245"/>
      <c r="D154" s="245"/>
    </row>
    <row r="155" spans="1:4" x14ac:dyDescent="0.2">
      <c r="A155" s="127" t="s">
        <v>124</v>
      </c>
      <c r="B155" s="248">
        <f>SUM(B156:B159)</f>
        <v>24613883.670000002</v>
      </c>
      <c r="C155" s="248">
        <f>SUM(C156:C159)</f>
        <v>7779935</v>
      </c>
      <c r="D155" s="248">
        <v>90351410</v>
      </c>
    </row>
    <row r="156" spans="1:4" x14ac:dyDescent="0.2">
      <c r="A156" s="124" t="s">
        <v>154</v>
      </c>
      <c r="B156" s="245"/>
      <c r="C156" s="245"/>
      <c r="D156" s="245"/>
    </row>
    <row r="157" spans="1:4" x14ac:dyDescent="0.2">
      <c r="A157" s="124" t="s">
        <v>157</v>
      </c>
      <c r="B157" s="245"/>
      <c r="C157" s="245"/>
      <c r="D157" s="245"/>
    </row>
    <row r="158" spans="1:4" x14ac:dyDescent="0.2">
      <c r="A158" s="124" t="s">
        <v>133</v>
      </c>
      <c r="B158" s="245">
        <v>24613883.670000002</v>
      </c>
      <c r="C158" s="245">
        <v>7779935</v>
      </c>
      <c r="D158" s="245">
        <v>90351410</v>
      </c>
    </row>
    <row r="159" spans="1:4" x14ac:dyDescent="0.2">
      <c r="A159" s="124" t="s">
        <v>134</v>
      </c>
      <c r="B159" s="245"/>
      <c r="C159" s="245"/>
      <c r="D159" s="245"/>
    </row>
    <row r="160" spans="1:4" x14ac:dyDescent="0.2">
      <c r="A160" s="127" t="s">
        <v>109</v>
      </c>
      <c r="B160" s="248">
        <f>SUM(B161)</f>
        <v>0</v>
      </c>
      <c r="C160" s="248">
        <f>SUM(C161)</f>
        <v>0</v>
      </c>
      <c r="D160" s="127"/>
    </row>
    <row r="161" spans="1:4" x14ac:dyDescent="0.2">
      <c r="A161" s="124" t="s">
        <v>135</v>
      </c>
      <c r="B161" s="245"/>
      <c r="C161" s="245"/>
      <c r="D161" s="245"/>
    </row>
    <row r="162" spans="1:4" x14ac:dyDescent="0.2">
      <c r="A162" s="241" t="s">
        <v>352</v>
      </c>
      <c r="B162" s="250">
        <f>B148+B155+B160</f>
        <v>24613883.670000002</v>
      </c>
      <c r="C162" s="250">
        <f>C155+C148</f>
        <v>9118969</v>
      </c>
      <c r="D162" s="252">
        <f>D155+D148</f>
        <v>90351410</v>
      </c>
    </row>
    <row r="163" spans="1:4" x14ac:dyDescent="0.2">
      <c r="A163" s="242" t="s">
        <v>431</v>
      </c>
    </row>
    <row r="164" spans="1:4" x14ac:dyDescent="0.2">
      <c r="A164" s="243" t="s">
        <v>432</v>
      </c>
    </row>
    <row r="167" spans="1:4" x14ac:dyDescent="0.2">
      <c r="A167" s="107" t="s">
        <v>433</v>
      </c>
    </row>
    <row r="168" spans="1:4" x14ac:dyDescent="0.2">
      <c r="A168" s="108" t="s">
        <v>498</v>
      </c>
    </row>
    <row r="169" spans="1:4" ht="25.5" x14ac:dyDescent="0.2">
      <c r="A169" s="130" t="s">
        <v>355</v>
      </c>
      <c r="B169" s="131">
        <v>2019</v>
      </c>
      <c r="C169" s="131">
        <v>2020</v>
      </c>
      <c r="D169" s="131">
        <v>2021</v>
      </c>
    </row>
    <row r="170" spans="1:4" x14ac:dyDescent="0.2">
      <c r="A170" s="127" t="s">
        <v>136</v>
      </c>
      <c r="B170" s="248">
        <f>SUM(B171:B176)</f>
        <v>0</v>
      </c>
      <c r="C170" s="248">
        <f>SUM(C171:C176)</f>
        <v>0</v>
      </c>
      <c r="D170" s="248">
        <f>SUM(D171:D176)</f>
        <v>50000</v>
      </c>
    </row>
    <row r="171" spans="1:4" x14ac:dyDescent="0.2">
      <c r="A171" s="124" t="s">
        <v>125</v>
      </c>
      <c r="B171" s="245">
        <v>0</v>
      </c>
      <c r="C171" s="245">
        <v>0</v>
      </c>
      <c r="D171" s="245"/>
    </row>
    <row r="172" spans="1:4" x14ac:dyDescent="0.2">
      <c r="A172" s="124" t="s">
        <v>126</v>
      </c>
      <c r="B172" s="246"/>
      <c r="C172" s="246"/>
      <c r="D172" s="246"/>
    </row>
    <row r="173" spans="1:4" x14ac:dyDescent="0.2">
      <c r="A173" s="124" t="s">
        <v>127</v>
      </c>
      <c r="B173" s="246"/>
      <c r="C173" s="246"/>
      <c r="D173" s="246"/>
    </row>
    <row r="174" spans="1:4" x14ac:dyDescent="0.2">
      <c r="A174" s="124" t="s">
        <v>128</v>
      </c>
      <c r="B174" s="246"/>
      <c r="C174" s="246"/>
      <c r="D174" s="246">
        <v>50000</v>
      </c>
    </row>
    <row r="175" spans="1:4" x14ac:dyDescent="0.2">
      <c r="A175" s="124" t="s">
        <v>155</v>
      </c>
      <c r="B175" s="246"/>
      <c r="C175" s="246"/>
      <c r="D175" s="246"/>
    </row>
    <row r="176" spans="1:4" x14ac:dyDescent="0.2">
      <c r="A176" s="124" t="s">
        <v>156</v>
      </c>
      <c r="B176" s="246"/>
      <c r="C176" s="246"/>
      <c r="D176" s="246"/>
    </row>
    <row r="177" spans="1:4" x14ac:dyDescent="0.2">
      <c r="A177" s="127" t="s">
        <v>124</v>
      </c>
      <c r="B177" s="247">
        <f>SUM(B178:B181)</f>
        <v>0</v>
      </c>
      <c r="C177" s="247">
        <f>SUM(C178:C181)</f>
        <v>0</v>
      </c>
      <c r="D177" s="247">
        <f>SUM(D178:D181)</f>
        <v>0</v>
      </c>
    </row>
    <row r="178" spans="1:4" x14ac:dyDescent="0.2">
      <c r="A178" s="124" t="s">
        <v>154</v>
      </c>
      <c r="B178" s="246"/>
      <c r="C178" s="246"/>
      <c r="D178" s="246"/>
    </row>
    <row r="179" spans="1:4" x14ac:dyDescent="0.2">
      <c r="A179" s="124" t="s">
        <v>157</v>
      </c>
      <c r="B179" s="246"/>
      <c r="C179" s="246"/>
      <c r="D179" s="246"/>
    </row>
    <row r="180" spans="1:4" x14ac:dyDescent="0.2">
      <c r="A180" s="124" t="s">
        <v>133</v>
      </c>
      <c r="B180" s="246"/>
      <c r="C180" s="246"/>
      <c r="D180" s="246"/>
    </row>
    <row r="181" spans="1:4" x14ac:dyDescent="0.2">
      <c r="A181" s="124" t="s">
        <v>134</v>
      </c>
      <c r="B181" s="246"/>
      <c r="C181" s="246"/>
      <c r="D181" s="246"/>
    </row>
    <row r="182" spans="1:4" x14ac:dyDescent="0.2">
      <c r="A182" s="127" t="s">
        <v>109</v>
      </c>
      <c r="B182" s="247">
        <f>SUM(B183)</f>
        <v>0</v>
      </c>
      <c r="C182" s="247">
        <f>SUM(C183)</f>
        <v>0</v>
      </c>
      <c r="D182" s="247"/>
    </row>
    <row r="183" spans="1:4" x14ac:dyDescent="0.2">
      <c r="A183" s="124" t="s">
        <v>135</v>
      </c>
      <c r="B183" s="246"/>
      <c r="C183" s="246"/>
      <c r="D183" s="246"/>
    </row>
    <row r="184" spans="1:4" x14ac:dyDescent="0.2">
      <c r="A184" s="128" t="s">
        <v>350</v>
      </c>
      <c r="B184" s="249">
        <f>B170+B177+B182</f>
        <v>0</v>
      </c>
      <c r="C184" s="249">
        <f>C170+C177+C182</f>
        <v>0</v>
      </c>
      <c r="D184" s="251">
        <f>D182+D182+D177+D170</f>
        <v>50000</v>
      </c>
    </row>
    <row r="186" spans="1:4" ht="25.5" x14ac:dyDescent="0.2">
      <c r="A186" s="130" t="s">
        <v>354</v>
      </c>
      <c r="B186" s="131">
        <v>2019</v>
      </c>
      <c r="C186" s="131" t="s">
        <v>502</v>
      </c>
      <c r="D186" s="131" t="s">
        <v>500</v>
      </c>
    </row>
    <row r="187" spans="1:4" x14ac:dyDescent="0.2">
      <c r="A187" s="127" t="s">
        <v>136</v>
      </c>
      <c r="B187" s="248">
        <f>SUM(B188:B193)</f>
        <v>11730518</v>
      </c>
      <c r="C187" s="248">
        <f>SUM(C188:C193)</f>
        <v>13941981</v>
      </c>
      <c r="D187" s="248">
        <f>SUM(D188:D193)</f>
        <v>50000</v>
      </c>
    </row>
    <row r="188" spans="1:4" x14ac:dyDescent="0.2">
      <c r="A188" s="124" t="s">
        <v>125</v>
      </c>
      <c r="B188" s="245">
        <v>0</v>
      </c>
      <c r="C188" s="245">
        <v>0</v>
      </c>
      <c r="D188" s="245"/>
    </row>
    <row r="189" spans="1:4" x14ac:dyDescent="0.2">
      <c r="A189" s="124" t="s">
        <v>126</v>
      </c>
      <c r="B189" s="245"/>
      <c r="C189" s="245">
        <v>1800</v>
      </c>
      <c r="D189" s="245">
        <v>0</v>
      </c>
    </row>
    <row r="190" spans="1:4" x14ac:dyDescent="0.2">
      <c r="A190" s="124" t="s">
        <v>127</v>
      </c>
      <c r="B190" s="245"/>
      <c r="C190" s="245"/>
      <c r="D190" s="245"/>
    </row>
    <row r="191" spans="1:4" x14ac:dyDescent="0.2">
      <c r="A191" s="124" t="s">
        <v>128</v>
      </c>
      <c r="B191" s="245">
        <v>11130518</v>
      </c>
      <c r="C191" s="245">
        <v>13759525</v>
      </c>
      <c r="D191" s="245">
        <v>50000</v>
      </c>
    </row>
    <row r="192" spans="1:4" x14ac:dyDescent="0.2">
      <c r="A192" s="124" t="s">
        <v>155</v>
      </c>
      <c r="B192" s="245"/>
      <c r="C192" s="245"/>
      <c r="D192" s="245"/>
    </row>
    <row r="193" spans="1:4" x14ac:dyDescent="0.2">
      <c r="A193" s="124" t="s">
        <v>156</v>
      </c>
      <c r="B193" s="245">
        <v>600000</v>
      </c>
      <c r="C193" s="245">
        <v>180656</v>
      </c>
      <c r="D193" s="245"/>
    </row>
    <row r="194" spans="1:4" x14ac:dyDescent="0.2">
      <c r="A194" s="127" t="s">
        <v>124</v>
      </c>
      <c r="B194" s="248">
        <f>SUM(B195:B198)</f>
        <v>848046</v>
      </c>
      <c r="C194" s="248">
        <f>SUM(C195:C197)</f>
        <v>3123771</v>
      </c>
      <c r="D194" s="248">
        <f>SUM(D195:D198)</f>
        <v>0</v>
      </c>
    </row>
    <row r="195" spans="1:4" x14ac:dyDescent="0.2">
      <c r="A195" s="124" t="s">
        <v>154</v>
      </c>
      <c r="B195" s="245"/>
      <c r="C195" s="245"/>
      <c r="D195" s="245"/>
    </row>
    <row r="196" spans="1:4" x14ac:dyDescent="0.2">
      <c r="A196" s="124" t="s">
        <v>157</v>
      </c>
      <c r="B196" s="245"/>
      <c r="C196" s="245"/>
      <c r="D196" s="245"/>
    </row>
    <row r="197" spans="1:4" x14ac:dyDescent="0.2">
      <c r="A197" s="124" t="s">
        <v>133</v>
      </c>
      <c r="B197" s="245">
        <v>848046</v>
      </c>
      <c r="C197" s="245">
        <v>3123771</v>
      </c>
      <c r="D197" s="245"/>
    </row>
    <row r="198" spans="1:4" x14ac:dyDescent="0.2">
      <c r="A198" s="124" t="s">
        <v>134</v>
      </c>
      <c r="B198" s="245"/>
      <c r="C198" s="245"/>
      <c r="D198" s="245"/>
    </row>
    <row r="199" spans="1:4" x14ac:dyDescent="0.2">
      <c r="A199" s="127" t="s">
        <v>109</v>
      </c>
      <c r="B199" s="127">
        <f>SUM(B200)</f>
        <v>0</v>
      </c>
      <c r="C199" s="127">
        <f>SUM(C200)</f>
        <v>0</v>
      </c>
      <c r="D199" s="127"/>
    </row>
    <row r="200" spans="1:4" x14ac:dyDescent="0.2">
      <c r="A200" s="124" t="s">
        <v>135</v>
      </c>
      <c r="B200" s="125"/>
      <c r="C200" s="125"/>
      <c r="D200" s="125"/>
    </row>
    <row r="201" spans="1:4" x14ac:dyDescent="0.2">
      <c r="A201" s="128" t="s">
        <v>351</v>
      </c>
      <c r="B201" s="250">
        <f>B187+B194+B199</f>
        <v>12578564</v>
      </c>
      <c r="C201" s="250">
        <f>C187+C194+C199</f>
        <v>17065752</v>
      </c>
      <c r="D201" s="252">
        <f>D199+D194+D187</f>
        <v>50000</v>
      </c>
    </row>
    <row r="203" spans="1:4" ht="25.5" x14ac:dyDescent="0.2">
      <c r="A203" s="130" t="s">
        <v>353</v>
      </c>
      <c r="B203" s="131">
        <v>2019</v>
      </c>
      <c r="C203" s="131" t="s">
        <v>502</v>
      </c>
      <c r="D203" s="131" t="s">
        <v>500</v>
      </c>
    </row>
    <row r="204" spans="1:4" x14ac:dyDescent="0.2">
      <c r="A204" s="127" t="s">
        <v>136</v>
      </c>
      <c r="B204" s="248">
        <f>SUM(B205:B210)</f>
        <v>5201293.22</v>
      </c>
      <c r="C204" s="248">
        <f>SUM(C205:C210)</f>
        <v>13941981</v>
      </c>
      <c r="D204" s="248">
        <f>SUM(D205:D210)</f>
        <v>50000</v>
      </c>
    </row>
    <row r="205" spans="1:4" x14ac:dyDescent="0.2">
      <c r="A205" s="124" t="s">
        <v>125</v>
      </c>
      <c r="B205" s="245"/>
      <c r="C205" s="245">
        <v>0</v>
      </c>
      <c r="D205" s="245"/>
    </row>
    <row r="206" spans="1:4" x14ac:dyDescent="0.2">
      <c r="A206" s="124" t="s">
        <v>126</v>
      </c>
      <c r="B206" s="245"/>
      <c r="C206" s="245">
        <v>1800</v>
      </c>
      <c r="D206" s="245"/>
    </row>
    <row r="207" spans="1:4" x14ac:dyDescent="0.2">
      <c r="A207" s="124" t="s">
        <v>127</v>
      </c>
      <c r="B207" s="245"/>
      <c r="C207" s="245"/>
      <c r="D207" s="245"/>
    </row>
    <row r="208" spans="1:4" x14ac:dyDescent="0.2">
      <c r="A208" s="124" t="s">
        <v>128</v>
      </c>
      <c r="B208" s="245">
        <v>4601293.22</v>
      </c>
      <c r="C208" s="245">
        <v>13759525</v>
      </c>
      <c r="D208" s="245">
        <v>50000</v>
      </c>
    </row>
    <row r="209" spans="1:4" x14ac:dyDescent="0.2">
      <c r="A209" s="124" t="s">
        <v>155</v>
      </c>
      <c r="B209" s="245"/>
      <c r="C209" s="245"/>
      <c r="D209" s="245"/>
    </row>
    <row r="210" spans="1:4" x14ac:dyDescent="0.2">
      <c r="A210" s="124" t="s">
        <v>156</v>
      </c>
      <c r="B210" s="245">
        <v>600000</v>
      </c>
      <c r="C210" s="245">
        <v>180656</v>
      </c>
      <c r="D210" s="245"/>
    </row>
    <row r="211" spans="1:4" x14ac:dyDescent="0.2">
      <c r="A211" s="127" t="s">
        <v>124</v>
      </c>
      <c r="B211" s="248">
        <f>SUM(B212:B215)</f>
        <v>391046.76</v>
      </c>
      <c r="C211" s="248">
        <f>SUM(C212:C215)</f>
        <v>3123771</v>
      </c>
      <c r="D211" s="248">
        <f>SUM(D212:D215)</f>
        <v>0</v>
      </c>
    </row>
    <row r="212" spans="1:4" x14ac:dyDescent="0.2">
      <c r="A212" s="124" t="s">
        <v>154</v>
      </c>
      <c r="B212" s="245"/>
      <c r="C212" s="245"/>
      <c r="D212" s="245"/>
    </row>
    <row r="213" spans="1:4" x14ac:dyDescent="0.2">
      <c r="A213" s="124" t="s">
        <v>157</v>
      </c>
      <c r="B213" s="245"/>
      <c r="C213" s="245"/>
      <c r="D213" s="245"/>
    </row>
    <row r="214" spans="1:4" x14ac:dyDescent="0.2">
      <c r="A214" s="124" t="s">
        <v>133</v>
      </c>
      <c r="B214" s="245">
        <v>391046.76</v>
      </c>
      <c r="C214" s="245">
        <v>3123771</v>
      </c>
      <c r="D214" s="245"/>
    </row>
    <row r="215" spans="1:4" x14ac:dyDescent="0.2">
      <c r="A215" s="124" t="s">
        <v>134</v>
      </c>
      <c r="B215" s="245"/>
      <c r="C215" s="245"/>
      <c r="D215" s="245"/>
    </row>
    <row r="216" spans="1:4" x14ac:dyDescent="0.2">
      <c r="A216" s="127" t="s">
        <v>109</v>
      </c>
      <c r="B216" s="248">
        <f>SUM(B217)</f>
        <v>0</v>
      </c>
      <c r="C216" s="248">
        <f>SUM(C217)</f>
        <v>0</v>
      </c>
      <c r="D216" s="127"/>
    </row>
    <row r="217" spans="1:4" x14ac:dyDescent="0.2">
      <c r="A217" s="124" t="s">
        <v>135</v>
      </c>
      <c r="B217" s="245"/>
      <c r="C217" s="245"/>
      <c r="D217" s="245"/>
    </row>
    <row r="218" spans="1:4" x14ac:dyDescent="0.2">
      <c r="A218" s="241" t="s">
        <v>352</v>
      </c>
      <c r="B218" s="250">
        <f>B204+B211+B216</f>
        <v>5592339.9799999995</v>
      </c>
      <c r="C218" s="250">
        <f>C211+C204</f>
        <v>17065752</v>
      </c>
      <c r="D218" s="252">
        <f>D216+D211+D204</f>
        <v>50000</v>
      </c>
    </row>
    <row r="219" spans="1:4" x14ac:dyDescent="0.2">
      <c r="A219" s="242" t="s">
        <v>431</v>
      </c>
    </row>
    <row r="220" spans="1:4" x14ac:dyDescent="0.2">
      <c r="A220" s="243" t="s">
        <v>432</v>
      </c>
    </row>
    <row r="223" spans="1:4" x14ac:dyDescent="0.2">
      <c r="A223" s="107" t="s">
        <v>433</v>
      </c>
    </row>
    <row r="224" spans="1:4" x14ac:dyDescent="0.2">
      <c r="A224" s="108" t="s">
        <v>499</v>
      </c>
    </row>
    <row r="225" spans="1:4" ht="25.5" x14ac:dyDescent="0.2">
      <c r="A225" s="130" t="s">
        <v>355</v>
      </c>
      <c r="B225" s="131">
        <v>2019</v>
      </c>
      <c r="C225" s="131">
        <v>2020</v>
      </c>
      <c r="D225" s="131">
        <v>2021</v>
      </c>
    </row>
    <row r="226" spans="1:4" x14ac:dyDescent="0.2">
      <c r="A226" s="127" t="s">
        <v>136</v>
      </c>
      <c r="B226" s="248">
        <f>SUM(B227:B232)</f>
        <v>638250</v>
      </c>
      <c r="C226" s="248">
        <f>SUM(C227:C232)</f>
        <v>1537747</v>
      </c>
      <c r="D226" s="248">
        <f>SUM(D227:D232)</f>
        <v>962003</v>
      </c>
    </row>
    <row r="227" spans="1:4" x14ac:dyDescent="0.2">
      <c r="A227" s="124" t="s">
        <v>125</v>
      </c>
      <c r="B227" s="245">
        <v>0</v>
      </c>
      <c r="C227" s="245">
        <v>0</v>
      </c>
      <c r="D227" s="245"/>
    </row>
    <row r="228" spans="1:4" x14ac:dyDescent="0.2">
      <c r="A228" s="124" t="s">
        <v>126</v>
      </c>
      <c r="B228" s="246"/>
      <c r="C228" s="246"/>
      <c r="D228" s="246"/>
    </row>
    <row r="229" spans="1:4" x14ac:dyDescent="0.2">
      <c r="A229" s="124" t="s">
        <v>127</v>
      </c>
      <c r="B229" s="246"/>
      <c r="C229" s="246"/>
      <c r="D229" s="246"/>
    </row>
    <row r="230" spans="1:4" x14ac:dyDescent="0.2">
      <c r="A230" s="124" t="s">
        <v>128</v>
      </c>
      <c r="B230" s="246">
        <v>638250</v>
      </c>
      <c r="C230" s="246">
        <v>1537747</v>
      </c>
      <c r="D230" s="246">
        <v>962003</v>
      </c>
    </row>
    <row r="231" spans="1:4" x14ac:dyDescent="0.2">
      <c r="A231" s="124" t="s">
        <v>155</v>
      </c>
      <c r="B231" s="246"/>
      <c r="C231" s="246"/>
      <c r="D231" s="246"/>
    </row>
    <row r="232" spans="1:4" x14ac:dyDescent="0.2">
      <c r="A232" s="124" t="s">
        <v>156</v>
      </c>
      <c r="B232" s="246"/>
      <c r="C232" s="246"/>
      <c r="D232" s="246"/>
    </row>
    <row r="233" spans="1:4" x14ac:dyDescent="0.2">
      <c r="A233" s="127" t="s">
        <v>124</v>
      </c>
      <c r="B233" s="247">
        <f>SUM(B234:B237)</f>
        <v>3585926</v>
      </c>
      <c r="C233" s="247">
        <f>SUM(C234:C237)</f>
        <v>15180510</v>
      </c>
      <c r="D233" s="247">
        <v>18866463</v>
      </c>
    </row>
    <row r="234" spans="1:4" x14ac:dyDescent="0.2">
      <c r="A234" s="124" t="s">
        <v>154</v>
      </c>
      <c r="B234" s="246"/>
      <c r="C234" s="246"/>
      <c r="D234" s="246"/>
    </row>
    <row r="235" spans="1:4" x14ac:dyDescent="0.2">
      <c r="A235" s="124" t="s">
        <v>157</v>
      </c>
      <c r="B235" s="246"/>
      <c r="C235" s="246"/>
      <c r="D235" s="246"/>
    </row>
    <row r="236" spans="1:4" x14ac:dyDescent="0.2">
      <c r="A236" s="124" t="s">
        <v>133</v>
      </c>
      <c r="B236" s="246">
        <v>3585926</v>
      </c>
      <c r="C236" s="246">
        <v>15180510</v>
      </c>
      <c r="D236" s="246">
        <v>18866463</v>
      </c>
    </row>
    <row r="237" spans="1:4" x14ac:dyDescent="0.2">
      <c r="A237" s="124" t="s">
        <v>134</v>
      </c>
      <c r="B237" s="246"/>
      <c r="C237" s="246"/>
      <c r="D237" s="246"/>
    </row>
    <row r="238" spans="1:4" x14ac:dyDescent="0.2">
      <c r="A238" s="127" t="s">
        <v>109</v>
      </c>
      <c r="B238" s="247">
        <f>SUM(B239)</f>
        <v>0</v>
      </c>
      <c r="C238" s="247">
        <f>SUM(C239)</f>
        <v>0</v>
      </c>
      <c r="D238" s="247"/>
    </row>
    <row r="239" spans="1:4" x14ac:dyDescent="0.2">
      <c r="A239" s="124" t="s">
        <v>135</v>
      </c>
      <c r="B239" s="246"/>
      <c r="C239" s="246"/>
      <c r="D239" s="246"/>
    </row>
    <row r="240" spans="1:4" x14ac:dyDescent="0.2">
      <c r="A240" s="128" t="s">
        <v>350</v>
      </c>
      <c r="B240" s="249">
        <f>B226+B233+B238</f>
        <v>4224176</v>
      </c>
      <c r="C240" s="249">
        <f>C226+C233+C238</f>
        <v>16718257</v>
      </c>
      <c r="D240" s="251">
        <f>D233+D226+D238</f>
        <v>19828466</v>
      </c>
    </row>
    <row r="242" spans="1:4" ht="25.5" x14ac:dyDescent="0.2">
      <c r="A242" s="130" t="s">
        <v>354</v>
      </c>
      <c r="B242" s="131">
        <v>2019</v>
      </c>
      <c r="C242" s="131" t="s">
        <v>502</v>
      </c>
      <c r="D242" s="131" t="s">
        <v>504</v>
      </c>
    </row>
    <row r="243" spans="1:4" x14ac:dyDescent="0.2">
      <c r="A243" s="127" t="s">
        <v>136</v>
      </c>
      <c r="B243" s="248">
        <f>SUM(B244:B249)</f>
        <v>6208490</v>
      </c>
      <c r="C243" s="248">
        <f>SUM(C244:C249)</f>
        <v>2134545</v>
      </c>
      <c r="D243" s="248">
        <f>SUM(D244:D248)</f>
        <v>962003</v>
      </c>
    </row>
    <row r="244" spans="1:4" x14ac:dyDescent="0.2">
      <c r="A244" s="124" t="s">
        <v>125</v>
      </c>
      <c r="B244" s="245">
        <v>0</v>
      </c>
      <c r="C244" s="245">
        <v>0</v>
      </c>
      <c r="D244" s="245"/>
    </row>
    <row r="245" spans="1:4" x14ac:dyDescent="0.2">
      <c r="A245" s="124" t="s">
        <v>126</v>
      </c>
      <c r="B245" s="245"/>
      <c r="C245" s="245"/>
      <c r="D245" s="245"/>
    </row>
    <row r="246" spans="1:4" x14ac:dyDescent="0.2">
      <c r="A246" s="124" t="s">
        <v>127</v>
      </c>
      <c r="B246" s="245"/>
      <c r="C246" s="245"/>
      <c r="D246" s="245"/>
    </row>
    <row r="247" spans="1:4" x14ac:dyDescent="0.2">
      <c r="A247" s="124" t="s">
        <v>128</v>
      </c>
      <c r="B247" s="245">
        <v>6208490</v>
      </c>
      <c r="C247" s="245">
        <v>2134545</v>
      </c>
      <c r="D247" s="246">
        <v>962003</v>
      </c>
    </row>
    <row r="248" spans="1:4" x14ac:dyDescent="0.2">
      <c r="A248" s="124" t="s">
        <v>155</v>
      </c>
      <c r="B248" s="245"/>
      <c r="C248" s="245"/>
      <c r="D248" s="245"/>
    </row>
    <row r="249" spans="1:4" x14ac:dyDescent="0.2">
      <c r="A249" s="124" t="s">
        <v>156</v>
      </c>
      <c r="B249" s="245"/>
      <c r="C249" s="245"/>
      <c r="D249" s="245"/>
    </row>
    <row r="250" spans="1:4" x14ac:dyDescent="0.2">
      <c r="A250" s="127" t="s">
        <v>124</v>
      </c>
      <c r="B250" s="248">
        <f>SUM(B251:B254)</f>
        <v>2458397</v>
      </c>
      <c r="C250" s="248">
        <f>SUM(C251:C253)</f>
        <v>14818128</v>
      </c>
      <c r="D250" s="248">
        <v>18866463</v>
      </c>
    </row>
    <row r="251" spans="1:4" x14ac:dyDescent="0.2">
      <c r="A251" s="124" t="s">
        <v>154</v>
      </c>
      <c r="B251" s="245"/>
      <c r="C251" s="245"/>
      <c r="D251" s="245"/>
    </row>
    <row r="252" spans="1:4" x14ac:dyDescent="0.2">
      <c r="A252" s="124" t="s">
        <v>157</v>
      </c>
      <c r="B252" s="245"/>
      <c r="C252" s="245"/>
      <c r="D252" s="245"/>
    </row>
    <row r="253" spans="1:4" x14ac:dyDescent="0.2">
      <c r="A253" s="124" t="s">
        <v>133</v>
      </c>
      <c r="B253" s="245">
        <v>2458397</v>
      </c>
      <c r="C253" s="245">
        <v>14818128</v>
      </c>
      <c r="D253" s="246">
        <v>18866463</v>
      </c>
    </row>
    <row r="254" spans="1:4" x14ac:dyDescent="0.2">
      <c r="A254" s="124" t="s">
        <v>134</v>
      </c>
      <c r="B254" s="245"/>
      <c r="C254" s="245"/>
      <c r="D254" s="245"/>
    </row>
    <row r="255" spans="1:4" x14ac:dyDescent="0.2">
      <c r="A255" s="127" t="s">
        <v>109</v>
      </c>
      <c r="B255" s="127">
        <f>SUM(B256)</f>
        <v>0</v>
      </c>
      <c r="C255" s="127">
        <f>SUM(C256)</f>
        <v>0</v>
      </c>
      <c r="D255" s="127"/>
    </row>
    <row r="256" spans="1:4" x14ac:dyDescent="0.2">
      <c r="A256" s="124" t="s">
        <v>135</v>
      </c>
      <c r="B256" s="125"/>
      <c r="C256" s="125"/>
      <c r="D256" s="125"/>
    </row>
    <row r="257" spans="1:4" x14ac:dyDescent="0.2">
      <c r="A257" s="128" t="s">
        <v>351</v>
      </c>
      <c r="B257" s="250">
        <f>B243+B250+B255</f>
        <v>8666887</v>
      </c>
      <c r="C257" s="250">
        <f>C243+C250+C255</f>
        <v>16952673</v>
      </c>
      <c r="D257" s="252">
        <f>D255+D250+D243</f>
        <v>19828466</v>
      </c>
    </row>
    <row r="259" spans="1:4" ht="25.5" x14ac:dyDescent="0.2">
      <c r="A259" s="130" t="s">
        <v>353</v>
      </c>
      <c r="B259" s="131">
        <v>2019</v>
      </c>
      <c r="C259" s="131" t="s">
        <v>501</v>
      </c>
      <c r="D259" s="131" t="s">
        <v>500</v>
      </c>
    </row>
    <row r="260" spans="1:4" x14ac:dyDescent="0.2">
      <c r="A260" s="127" t="s">
        <v>136</v>
      </c>
      <c r="B260" s="248">
        <f>SUM(B261:B266)</f>
        <v>2485486.9</v>
      </c>
      <c r="C260" s="248">
        <f>SUM(C261:C266)</f>
        <v>2134545</v>
      </c>
      <c r="D260" s="248">
        <f>SUM(D261:D266)</f>
        <v>962003</v>
      </c>
    </row>
    <row r="261" spans="1:4" x14ac:dyDescent="0.2">
      <c r="A261" s="124" t="s">
        <v>125</v>
      </c>
      <c r="B261" s="245"/>
      <c r="C261" s="245"/>
      <c r="D261" s="245"/>
    </row>
    <row r="262" spans="1:4" x14ac:dyDescent="0.2">
      <c r="A262" s="124" t="s">
        <v>126</v>
      </c>
      <c r="B262" s="245"/>
      <c r="C262" s="245"/>
      <c r="D262" s="245"/>
    </row>
    <row r="263" spans="1:4" x14ac:dyDescent="0.2">
      <c r="A263" s="124" t="s">
        <v>127</v>
      </c>
      <c r="B263" s="245"/>
      <c r="C263" s="245"/>
      <c r="D263" s="245"/>
    </row>
    <row r="264" spans="1:4" x14ac:dyDescent="0.2">
      <c r="A264" s="124" t="s">
        <v>128</v>
      </c>
      <c r="B264" s="245">
        <v>2485486.9</v>
      </c>
      <c r="C264" s="245">
        <v>2134545</v>
      </c>
      <c r="D264" s="246">
        <v>962003</v>
      </c>
    </row>
    <row r="265" spans="1:4" x14ac:dyDescent="0.2">
      <c r="A265" s="124" t="s">
        <v>155</v>
      </c>
      <c r="B265" s="245"/>
      <c r="C265" s="245"/>
      <c r="D265" s="245"/>
    </row>
    <row r="266" spans="1:4" x14ac:dyDescent="0.2">
      <c r="A266" s="124" t="s">
        <v>156</v>
      </c>
      <c r="B266" s="245"/>
      <c r="C266" s="245"/>
      <c r="D266" s="245"/>
    </row>
    <row r="267" spans="1:4" x14ac:dyDescent="0.2">
      <c r="A267" s="127" t="s">
        <v>124</v>
      </c>
      <c r="B267" s="248">
        <f>SUM(B268:B271)</f>
        <v>536057.18999999994</v>
      </c>
      <c r="C267" s="248">
        <f>SUM(C268:C271)</f>
        <v>14818128</v>
      </c>
      <c r="D267" s="248">
        <v>18866463</v>
      </c>
    </row>
    <row r="268" spans="1:4" x14ac:dyDescent="0.2">
      <c r="A268" s="124" t="s">
        <v>154</v>
      </c>
      <c r="B268" s="245"/>
      <c r="C268" s="245"/>
      <c r="D268" s="245"/>
    </row>
    <row r="269" spans="1:4" x14ac:dyDescent="0.2">
      <c r="A269" s="124" t="s">
        <v>157</v>
      </c>
      <c r="B269" s="245"/>
      <c r="C269" s="245"/>
      <c r="D269" s="245"/>
    </row>
    <row r="270" spans="1:4" x14ac:dyDescent="0.2">
      <c r="A270" s="124" t="s">
        <v>133</v>
      </c>
      <c r="B270" s="245">
        <v>536057.18999999994</v>
      </c>
      <c r="C270" s="245">
        <v>14818128</v>
      </c>
      <c r="D270" s="246">
        <v>18866463</v>
      </c>
    </row>
    <row r="271" spans="1:4" x14ac:dyDescent="0.2">
      <c r="A271" s="124" t="s">
        <v>134</v>
      </c>
      <c r="B271" s="245"/>
      <c r="C271" s="245"/>
      <c r="D271" s="245"/>
    </row>
    <row r="272" spans="1:4" x14ac:dyDescent="0.2">
      <c r="A272" s="127" t="s">
        <v>109</v>
      </c>
      <c r="B272" s="248">
        <f>SUM(B273)</f>
        <v>0</v>
      </c>
      <c r="C272" s="248">
        <f>SUM(C273)</f>
        <v>0</v>
      </c>
      <c r="D272" s="127"/>
    </row>
    <row r="273" spans="1:4" x14ac:dyDescent="0.2">
      <c r="A273" s="124" t="s">
        <v>135</v>
      </c>
      <c r="B273" s="245"/>
      <c r="C273" s="245"/>
      <c r="D273" s="245"/>
    </row>
    <row r="274" spans="1:4" x14ac:dyDescent="0.2">
      <c r="A274" s="241" t="s">
        <v>352</v>
      </c>
      <c r="B274" s="250">
        <f>B260+B267+B272</f>
        <v>3021544.09</v>
      </c>
      <c r="C274" s="250">
        <f>C267+C260</f>
        <v>16952673</v>
      </c>
      <c r="D274" s="253">
        <f>D260+D267+D272</f>
        <v>19828466</v>
      </c>
    </row>
    <row r="275" spans="1:4" x14ac:dyDescent="0.2">
      <c r="A275" s="242" t="s">
        <v>431</v>
      </c>
    </row>
    <row r="276" spans="1:4" x14ac:dyDescent="0.2">
      <c r="A276" s="243" t="s">
        <v>432</v>
      </c>
    </row>
  </sheetData>
  <pageMargins left="0.70866141732283472" right="0.51181102362204722" top="0.74803149606299213" bottom="0.74803149606299213" header="0.31496062992125984" footer="0.31496062992125984"/>
  <pageSetup paperSize="9" orientation="portrait" r:id="rId1"/>
  <headerFooter>
    <oddHeader>&amp;C&amp;"Arial,Negrita"&amp;18PROYECTO DE PRESUPUESTO 2021</oddHeader>
    <oddFooter>&amp;L&amp;"Arial,Negrita"&amp;8PROYECTO DE PRESUPUESTO PARA EL AÑO FISCAL 2021
INFORMACIÓN PARA LA COMISIÓN DE PRESUPUESTO Y CUENTA GENERAL DE LA REPÚBLICA DEL CONGRESO DE LA REPÚBLICA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tabColor theme="9" tint="-0.249977111117893"/>
  </sheetPr>
  <dimension ref="A1:W16"/>
  <sheetViews>
    <sheetView view="pageLayout" topLeftCell="I4" zoomScale="190" zoomScaleNormal="100" zoomScaleSheetLayoutView="100" zoomScalePageLayoutView="190" workbookViewId="0">
      <selection activeCell="N18" sqref="N18"/>
    </sheetView>
  </sheetViews>
  <sheetFormatPr baseColWidth="10" defaultColWidth="11.28515625" defaultRowHeight="11.25" x14ac:dyDescent="0.2"/>
  <cols>
    <col min="1" max="1" width="26.5703125" style="366" customWidth="1"/>
    <col min="2" max="2" width="25.7109375" style="366" customWidth="1"/>
    <col min="3" max="3" width="4.85546875" style="366" customWidth="1"/>
    <col min="4" max="4" width="12.85546875" style="366" customWidth="1"/>
    <col min="5" max="5" width="14.5703125" style="366" customWidth="1"/>
    <col min="6" max="6" width="12.28515625" style="366" customWidth="1"/>
    <col min="7" max="7" width="6.140625" style="366" customWidth="1"/>
    <col min="8" max="8" width="14.42578125" style="366" customWidth="1"/>
    <col min="9" max="9" width="12.85546875" style="366" customWidth="1"/>
    <col min="10" max="10" width="3.42578125" style="366" customWidth="1"/>
    <col min="11" max="11" width="3.28515625" style="366" customWidth="1"/>
    <col min="12" max="12" width="14.140625" style="366" customWidth="1"/>
    <col min="13" max="13" width="4.140625" style="366" customWidth="1"/>
    <col min="14" max="14" width="13.28515625" style="366" customWidth="1"/>
    <col min="15" max="16" width="3.7109375" style="366" customWidth="1"/>
    <col min="17" max="17" width="12.140625" style="366" customWidth="1"/>
    <col min="18" max="18" width="8.140625" style="366" customWidth="1"/>
    <col min="19" max="16384" width="11.28515625" style="366"/>
  </cols>
  <sheetData>
    <row r="1" spans="1:23" s="311" customFormat="1" ht="12" x14ac:dyDescent="0.2">
      <c r="A1" s="309" t="s">
        <v>434</v>
      </c>
      <c r="B1" s="309"/>
      <c r="C1" s="310"/>
      <c r="D1" s="310"/>
      <c r="E1" s="310"/>
      <c r="F1" s="310"/>
      <c r="G1" s="310"/>
      <c r="H1" s="223"/>
      <c r="I1" s="223"/>
      <c r="J1" s="223"/>
      <c r="K1" s="223"/>
      <c r="L1" s="223"/>
      <c r="M1" s="223"/>
      <c r="N1" s="223"/>
      <c r="O1" s="223"/>
      <c r="P1" s="223"/>
      <c r="Q1" s="223"/>
      <c r="R1" s="223"/>
    </row>
    <row r="2" spans="1:23" s="311" customFormat="1" ht="12.75" thickBot="1" x14ac:dyDescent="0.25">
      <c r="A2" s="309" t="s">
        <v>373</v>
      </c>
      <c r="B2" s="2"/>
      <c r="C2" s="2"/>
      <c r="D2" s="2"/>
      <c r="E2" s="2"/>
      <c r="F2" s="2"/>
      <c r="G2" s="2"/>
      <c r="H2" s="2"/>
      <c r="I2" s="2"/>
      <c r="J2" s="2"/>
      <c r="K2" s="2"/>
      <c r="L2" s="2"/>
      <c r="M2" s="2"/>
      <c r="N2" s="2"/>
      <c r="O2" s="2"/>
      <c r="P2" s="2"/>
      <c r="Q2" s="2"/>
      <c r="R2" s="2"/>
      <c r="S2" s="312"/>
      <c r="T2" s="312"/>
      <c r="U2" s="312"/>
      <c r="V2" s="312"/>
      <c r="W2" s="312"/>
    </row>
    <row r="3" spans="1:23" s="313" customFormat="1" ht="28.35" customHeight="1" thickBot="1" x14ac:dyDescent="0.25">
      <c r="A3" s="586" t="s">
        <v>323</v>
      </c>
      <c r="B3" s="586" t="s">
        <v>308</v>
      </c>
      <c r="C3" s="584" t="s">
        <v>136</v>
      </c>
      <c r="D3" s="588"/>
      <c r="E3" s="588"/>
      <c r="F3" s="588"/>
      <c r="G3" s="588"/>
      <c r="H3" s="588"/>
      <c r="I3" s="585"/>
      <c r="J3" s="584" t="s">
        <v>124</v>
      </c>
      <c r="K3" s="588"/>
      <c r="L3" s="588"/>
      <c r="M3" s="588"/>
      <c r="N3" s="585"/>
      <c r="O3" s="584" t="s">
        <v>109</v>
      </c>
      <c r="P3" s="585"/>
      <c r="Q3" s="584" t="s">
        <v>0</v>
      </c>
      <c r="R3" s="585"/>
    </row>
    <row r="4" spans="1:23" s="320" customFormat="1" ht="109.15" customHeight="1" thickBot="1" x14ac:dyDescent="0.25">
      <c r="A4" s="587"/>
      <c r="B4" s="587"/>
      <c r="C4" s="314" t="s">
        <v>125</v>
      </c>
      <c r="D4" s="315" t="s">
        <v>126</v>
      </c>
      <c r="E4" s="315" t="s">
        <v>127</v>
      </c>
      <c r="F4" s="315" t="s">
        <v>128</v>
      </c>
      <c r="G4" s="315" t="s">
        <v>129</v>
      </c>
      <c r="H4" s="315" t="s">
        <v>130</v>
      </c>
      <c r="I4" s="316" t="s">
        <v>121</v>
      </c>
      <c r="J4" s="314" t="s">
        <v>131</v>
      </c>
      <c r="K4" s="315" t="s">
        <v>132</v>
      </c>
      <c r="L4" s="315" t="s">
        <v>133</v>
      </c>
      <c r="M4" s="315" t="s">
        <v>134</v>
      </c>
      <c r="N4" s="317" t="s">
        <v>122</v>
      </c>
      <c r="O4" s="314" t="s">
        <v>135</v>
      </c>
      <c r="P4" s="317" t="s">
        <v>123</v>
      </c>
      <c r="Q4" s="318" t="s">
        <v>158</v>
      </c>
      <c r="R4" s="319" t="s">
        <v>107</v>
      </c>
    </row>
    <row r="5" spans="1:23" s="329" customFormat="1" ht="9" thickBot="1" x14ac:dyDescent="0.2">
      <c r="A5" s="321" t="s">
        <v>766</v>
      </c>
      <c r="B5" s="321" t="s">
        <v>767</v>
      </c>
      <c r="C5" s="322"/>
      <c r="D5" s="323">
        <v>5953037</v>
      </c>
      <c r="E5" s="323">
        <v>1013372</v>
      </c>
      <c r="F5" s="323">
        <v>11565374</v>
      </c>
      <c r="G5" s="323"/>
      <c r="H5" s="323">
        <v>22684</v>
      </c>
      <c r="I5" s="324">
        <f>D5+E5+F5+G5+H5</f>
        <v>18554467</v>
      </c>
      <c r="J5" s="322"/>
      <c r="K5" s="323"/>
      <c r="L5" s="325">
        <v>88146379</v>
      </c>
      <c r="M5" s="325"/>
      <c r="N5" s="326">
        <f>J5+K5+L5+M5</f>
        <v>88146379</v>
      </c>
      <c r="O5" s="327"/>
      <c r="P5" s="326"/>
      <c r="Q5" s="322">
        <f>I5+N5</f>
        <v>106700846</v>
      </c>
      <c r="R5" s="328"/>
    </row>
    <row r="6" spans="1:23" s="329" customFormat="1" ht="9" thickBot="1" x14ac:dyDescent="0.2">
      <c r="A6" s="321" t="s">
        <v>768</v>
      </c>
      <c r="B6" s="330" t="s">
        <v>769</v>
      </c>
      <c r="C6" s="331"/>
      <c r="D6" s="332">
        <v>282539</v>
      </c>
      <c r="E6" s="332">
        <v>2393</v>
      </c>
      <c r="F6" s="332">
        <v>1040454</v>
      </c>
      <c r="G6" s="332"/>
      <c r="H6" s="332"/>
      <c r="I6" s="324">
        <f t="shared" ref="I6:I14" si="0">D6+E6+F6+H6</f>
        <v>1325386</v>
      </c>
      <c r="J6" s="331"/>
      <c r="K6" s="332"/>
      <c r="L6" s="333">
        <v>6494900</v>
      </c>
      <c r="M6" s="333"/>
      <c r="N6" s="326">
        <f t="shared" ref="N6:N14" si="1">J6+K6+L6+M6</f>
        <v>6494900</v>
      </c>
      <c r="O6" s="334"/>
      <c r="P6" s="335"/>
      <c r="Q6" s="322">
        <f t="shared" ref="Q6:Q14" si="2">I6+N6</f>
        <v>7820286</v>
      </c>
      <c r="R6" s="336"/>
    </row>
    <row r="7" spans="1:23" s="329" customFormat="1" ht="9" thickBot="1" x14ac:dyDescent="0.2">
      <c r="A7" s="321" t="s">
        <v>770</v>
      </c>
      <c r="B7" s="330" t="s">
        <v>771</v>
      </c>
      <c r="C7" s="337"/>
      <c r="D7" s="338"/>
      <c r="E7" s="338"/>
      <c r="F7" s="338"/>
      <c r="G7" s="338"/>
      <c r="H7" s="338"/>
      <c r="I7" s="324">
        <f t="shared" si="0"/>
        <v>0</v>
      </c>
      <c r="J7" s="337"/>
      <c r="K7" s="339"/>
      <c r="L7" s="340">
        <v>16393610</v>
      </c>
      <c r="M7" s="340"/>
      <c r="N7" s="326">
        <f t="shared" si="1"/>
        <v>16393610</v>
      </c>
      <c r="O7" s="341"/>
      <c r="P7" s="342"/>
      <c r="Q7" s="322">
        <f t="shared" si="2"/>
        <v>16393610</v>
      </c>
      <c r="R7" s="343"/>
    </row>
    <row r="8" spans="1:23" s="329" customFormat="1" ht="9" thickBot="1" x14ac:dyDescent="0.2">
      <c r="A8" s="321" t="s">
        <v>772</v>
      </c>
      <c r="B8" s="330" t="s">
        <v>773</v>
      </c>
      <c r="C8" s="337"/>
      <c r="D8" s="338">
        <v>1234961</v>
      </c>
      <c r="E8" s="338">
        <v>195745</v>
      </c>
      <c r="F8" s="338">
        <v>2357570</v>
      </c>
      <c r="G8" s="338"/>
      <c r="H8" s="338"/>
      <c r="I8" s="324">
        <f t="shared" si="0"/>
        <v>3788276</v>
      </c>
      <c r="J8" s="337"/>
      <c r="K8" s="339"/>
      <c r="L8" s="340">
        <v>15637267</v>
      </c>
      <c r="M8" s="340"/>
      <c r="N8" s="326">
        <f t="shared" si="1"/>
        <v>15637267</v>
      </c>
      <c r="O8" s="341"/>
      <c r="P8" s="342"/>
      <c r="Q8" s="322">
        <f>I8+N8</f>
        <v>19425543</v>
      </c>
      <c r="R8" s="343"/>
    </row>
    <row r="9" spans="1:23" s="329" customFormat="1" ht="9" thickBot="1" x14ac:dyDescent="0.2">
      <c r="A9" s="321" t="s">
        <v>774</v>
      </c>
      <c r="B9" s="330" t="s">
        <v>775</v>
      </c>
      <c r="C9" s="331"/>
      <c r="D9" s="332">
        <v>1121653</v>
      </c>
      <c r="E9" s="332">
        <v>134682</v>
      </c>
      <c r="F9" s="332">
        <v>2108825</v>
      </c>
      <c r="G9" s="332"/>
      <c r="H9" s="332"/>
      <c r="I9" s="324">
        <f t="shared" si="0"/>
        <v>3365160</v>
      </c>
      <c r="J9" s="331"/>
      <c r="K9" s="332"/>
      <c r="L9" s="333">
        <v>10000000</v>
      </c>
      <c r="M9" s="333"/>
      <c r="N9" s="326">
        <f t="shared" si="1"/>
        <v>10000000</v>
      </c>
      <c r="O9" s="334"/>
      <c r="P9" s="335"/>
      <c r="Q9" s="322">
        <f t="shared" si="2"/>
        <v>13365160</v>
      </c>
      <c r="R9" s="336"/>
    </row>
    <row r="10" spans="1:23" s="329" customFormat="1" ht="9" thickBot="1" x14ac:dyDescent="0.2">
      <c r="A10" s="321" t="s">
        <v>776</v>
      </c>
      <c r="B10" s="330" t="s">
        <v>777</v>
      </c>
      <c r="C10" s="344"/>
      <c r="D10" s="338">
        <v>108260199</v>
      </c>
      <c r="E10" s="338">
        <v>4243071</v>
      </c>
      <c r="F10" s="338">
        <v>7545040</v>
      </c>
      <c r="G10" s="338"/>
      <c r="H10" s="338"/>
      <c r="I10" s="324">
        <f t="shared" si="0"/>
        <v>120048310</v>
      </c>
      <c r="J10" s="344"/>
      <c r="K10" s="338"/>
      <c r="L10" s="340"/>
      <c r="M10" s="340"/>
      <c r="N10" s="326">
        <f t="shared" si="1"/>
        <v>0</v>
      </c>
      <c r="O10" s="341"/>
      <c r="P10" s="342"/>
      <c r="Q10" s="322">
        <f t="shared" si="2"/>
        <v>120048310</v>
      </c>
      <c r="R10" s="345"/>
    </row>
    <row r="11" spans="1:23" s="329" customFormat="1" ht="9" thickBot="1" x14ac:dyDescent="0.2">
      <c r="A11" s="321" t="s">
        <v>778</v>
      </c>
      <c r="B11" s="330" t="s">
        <v>779</v>
      </c>
      <c r="C11" s="344"/>
      <c r="D11" s="338">
        <v>10552727</v>
      </c>
      <c r="E11" s="338">
        <v>492936</v>
      </c>
      <c r="F11" s="338">
        <v>9579714</v>
      </c>
      <c r="G11" s="338"/>
      <c r="H11" s="338">
        <v>50000</v>
      </c>
      <c r="I11" s="324">
        <f t="shared" si="0"/>
        <v>20675377</v>
      </c>
      <c r="J11" s="344"/>
      <c r="K11" s="338"/>
      <c r="L11" s="340">
        <v>44800</v>
      </c>
      <c r="M11" s="340"/>
      <c r="N11" s="326">
        <f t="shared" si="1"/>
        <v>44800</v>
      </c>
      <c r="O11" s="346"/>
      <c r="P11" s="342"/>
      <c r="Q11" s="322">
        <f t="shared" si="2"/>
        <v>20720177</v>
      </c>
      <c r="R11" s="345"/>
    </row>
    <row r="12" spans="1:23" s="329" customFormat="1" ht="9" thickBot="1" x14ac:dyDescent="0.2">
      <c r="A12" s="321" t="s">
        <v>780</v>
      </c>
      <c r="B12" s="347" t="s">
        <v>781</v>
      </c>
      <c r="C12" s="348"/>
      <c r="D12" s="349">
        <v>18445215</v>
      </c>
      <c r="E12" s="349">
        <v>38666</v>
      </c>
      <c r="F12" s="349">
        <v>11334019</v>
      </c>
      <c r="G12" s="349"/>
      <c r="H12" s="349"/>
      <c r="I12" s="324">
        <f t="shared" si="0"/>
        <v>29817900</v>
      </c>
      <c r="J12" s="348"/>
      <c r="K12" s="349"/>
      <c r="L12" s="350"/>
      <c r="M12" s="350"/>
      <c r="N12" s="326">
        <f t="shared" si="1"/>
        <v>0</v>
      </c>
      <c r="O12" s="351"/>
      <c r="P12" s="352"/>
      <c r="Q12" s="322">
        <f t="shared" si="2"/>
        <v>29817900</v>
      </c>
      <c r="R12" s="353"/>
    </row>
    <row r="13" spans="1:23" s="329" customFormat="1" ht="8.25" x14ac:dyDescent="0.15">
      <c r="A13" s="321" t="s">
        <v>782</v>
      </c>
      <c r="B13" s="347" t="s">
        <v>783</v>
      </c>
      <c r="C13" s="348"/>
      <c r="D13" s="349">
        <v>23417533</v>
      </c>
      <c r="E13" s="349"/>
      <c r="F13" s="349">
        <v>6250648</v>
      </c>
      <c r="G13" s="349"/>
      <c r="H13" s="349">
        <v>1293630</v>
      </c>
      <c r="I13" s="324">
        <f t="shared" si="0"/>
        <v>30961811</v>
      </c>
      <c r="J13" s="348"/>
      <c r="K13" s="349"/>
      <c r="L13" s="350"/>
      <c r="M13" s="350"/>
      <c r="N13" s="326">
        <f t="shared" si="1"/>
        <v>0</v>
      </c>
      <c r="O13" s="351"/>
      <c r="P13" s="352"/>
      <c r="Q13" s="322">
        <f t="shared" si="2"/>
        <v>30961811</v>
      </c>
      <c r="R13" s="353"/>
    </row>
    <row r="14" spans="1:23" s="329" customFormat="1" ht="9" thickBot="1" x14ac:dyDescent="0.2">
      <c r="A14" s="354" t="s">
        <v>23</v>
      </c>
      <c r="B14" s="354" t="s">
        <v>23</v>
      </c>
      <c r="C14" s="355"/>
      <c r="D14" s="356"/>
      <c r="E14" s="356"/>
      <c r="F14" s="356"/>
      <c r="G14" s="356"/>
      <c r="H14" s="356"/>
      <c r="I14" s="324">
        <f t="shared" si="0"/>
        <v>0</v>
      </c>
      <c r="J14" s="355"/>
      <c r="K14" s="356"/>
      <c r="L14" s="357"/>
      <c r="M14" s="357"/>
      <c r="N14" s="326">
        <f t="shared" si="1"/>
        <v>0</v>
      </c>
      <c r="O14" s="358"/>
      <c r="P14" s="359"/>
      <c r="Q14" s="322">
        <f t="shared" si="2"/>
        <v>0</v>
      </c>
      <c r="R14" s="360"/>
    </row>
    <row r="15" spans="1:23" s="329" customFormat="1" ht="9" thickBot="1" x14ac:dyDescent="0.2">
      <c r="A15" s="361" t="s">
        <v>100</v>
      </c>
      <c r="B15" s="361" t="s">
        <v>100</v>
      </c>
      <c r="C15" s="362"/>
      <c r="D15" s="363">
        <f>SUM(D5:D14)</f>
        <v>169267864</v>
      </c>
      <c r="E15" s="363">
        <f t="shared" ref="E15:K15" si="3">SUM(E5:E14)</f>
        <v>6120865</v>
      </c>
      <c r="F15" s="363">
        <f t="shared" si="3"/>
        <v>51781644</v>
      </c>
      <c r="G15" s="363">
        <f t="shared" si="3"/>
        <v>0</v>
      </c>
      <c r="H15" s="363">
        <f t="shared" si="3"/>
        <v>1366314</v>
      </c>
      <c r="I15" s="363">
        <f t="shared" si="3"/>
        <v>228536687</v>
      </c>
      <c r="J15" s="363">
        <f t="shared" si="3"/>
        <v>0</v>
      </c>
      <c r="K15" s="363">
        <f t="shared" si="3"/>
        <v>0</v>
      </c>
      <c r="L15" s="363">
        <f>SUM(L5:L14)</f>
        <v>136716956</v>
      </c>
      <c r="M15" s="363">
        <f t="shared" ref="M15:P15" si="4">SUM(M5:M14)</f>
        <v>0</v>
      </c>
      <c r="N15" s="363">
        <f t="shared" si="4"/>
        <v>136716956</v>
      </c>
      <c r="O15" s="363">
        <f t="shared" si="4"/>
        <v>0</v>
      </c>
      <c r="P15" s="363">
        <f t="shared" si="4"/>
        <v>0</v>
      </c>
      <c r="Q15" s="362">
        <f>SUM(Q5:Q14)</f>
        <v>365253643</v>
      </c>
      <c r="R15" s="364"/>
    </row>
    <row r="16" spans="1:23" x14ac:dyDescent="0.2">
      <c r="A16" s="365"/>
      <c r="B16" s="365"/>
      <c r="C16" s="113"/>
      <c r="D16" s="113"/>
      <c r="E16" s="114"/>
      <c r="F16" s="114"/>
      <c r="G16" s="114"/>
      <c r="H16" s="114"/>
      <c r="I16" s="114"/>
      <c r="J16" s="114"/>
      <c r="K16" s="114"/>
      <c r="L16" s="114"/>
      <c r="M16" s="114"/>
      <c r="N16" s="114"/>
      <c r="O16" s="114"/>
      <c r="P16" s="114"/>
      <c r="Q16" s="114"/>
      <c r="R16" s="114"/>
    </row>
  </sheetData>
  <mergeCells count="6">
    <mergeCell ref="Q3:R3"/>
    <mergeCell ref="A3:A4"/>
    <mergeCell ref="B3:B4"/>
    <mergeCell ref="C3:I3"/>
    <mergeCell ref="J3:N3"/>
    <mergeCell ref="O3:P3"/>
  </mergeCells>
  <pageMargins left="0.17" right="0.17" top="0.56000000000000005" bottom="0.74803149606299213" header="0.28999999999999998" footer="0.31496062992125984"/>
  <pageSetup paperSize="9" orientation="landscape" r:id="rId1"/>
  <headerFooter alignWithMargins="0">
    <oddHeader xml:space="preserve">&amp;C&amp;"Arial,Negrita"&amp;18PROYECTO DE PRESUPUESTO 2021
</oddHeader>
    <oddFooter>&amp;L&amp;"Arial,Negrita"&amp;8PROYECTO DE PRESUPUESTO PARA EL AÑO FISCAL 2020
INFORMACIÓN PARA LA COMISIÓN DE PRESUPUESTO Y CUENTA GENERAL DE LA REPÚBLICA DEL CONGRESO DE LA REPÚBLICA</oddFooter>
  </headerFooter>
  <colBreaks count="1" manualBreakCount="1">
    <brk id="18"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tabColor theme="9" tint="-0.249977111117893"/>
  </sheetPr>
  <dimension ref="A1:L117"/>
  <sheetViews>
    <sheetView view="pageLayout" topLeftCell="A97" zoomScaleNormal="100" workbookViewId="0">
      <selection activeCell="B119" sqref="B119"/>
    </sheetView>
  </sheetViews>
  <sheetFormatPr baseColWidth="10" defaultColWidth="11.28515625" defaultRowHeight="12.75" x14ac:dyDescent="0.2"/>
  <cols>
    <col min="1" max="1" width="58.42578125" style="297" customWidth="1"/>
    <col min="2" max="2" width="13.28515625" style="297" customWidth="1"/>
    <col min="3" max="3" width="14.28515625" style="297" customWidth="1"/>
    <col min="4" max="4" width="12.85546875" style="297" customWidth="1"/>
    <col min="5" max="5" width="13.85546875" style="297" bestFit="1" customWidth="1"/>
    <col min="6" max="7" width="12.85546875" style="297" bestFit="1" customWidth="1"/>
    <col min="8" max="8" width="17" style="297" customWidth="1"/>
    <col min="9" max="9" width="12.85546875" style="297" bestFit="1" customWidth="1"/>
    <col min="10" max="10" width="13" style="297" customWidth="1"/>
    <col min="11" max="16384" width="11.28515625" style="297"/>
  </cols>
  <sheetData>
    <row r="1" spans="1:12" x14ac:dyDescent="0.2">
      <c r="A1" s="367" t="s">
        <v>435</v>
      </c>
      <c r="H1" s="368"/>
      <c r="I1" s="368"/>
      <c r="J1" s="368"/>
      <c r="K1" s="368"/>
    </row>
    <row r="2" spans="1:12" x14ac:dyDescent="0.2">
      <c r="A2" s="108" t="s">
        <v>374</v>
      </c>
      <c r="H2" s="369"/>
      <c r="I2" s="369"/>
      <c r="J2" s="369"/>
      <c r="K2" s="369"/>
    </row>
    <row r="3" spans="1:12" s="301" customFormat="1" ht="28.35" customHeight="1" x14ac:dyDescent="0.2">
      <c r="A3" s="299" t="s">
        <v>370</v>
      </c>
      <c r="B3" s="300">
        <v>2019</v>
      </c>
      <c r="C3" s="300">
        <v>2020</v>
      </c>
      <c r="D3" s="370">
        <v>2021</v>
      </c>
      <c r="H3" s="369"/>
      <c r="I3" s="369"/>
      <c r="J3" s="369"/>
      <c r="K3" s="369"/>
      <c r="L3" s="371"/>
    </row>
    <row r="4" spans="1:12" x14ac:dyDescent="0.2">
      <c r="A4" s="372" t="s">
        <v>362</v>
      </c>
      <c r="B4" s="373">
        <v>11135316</v>
      </c>
      <c r="C4" s="373">
        <v>6905181</v>
      </c>
      <c r="D4" s="374">
        <v>8659222</v>
      </c>
      <c r="H4" s="369"/>
      <c r="I4" s="369"/>
      <c r="J4" s="369"/>
      <c r="K4" s="369"/>
      <c r="L4" s="375"/>
    </row>
    <row r="5" spans="1:12" x14ac:dyDescent="0.2">
      <c r="A5" s="372" t="s">
        <v>363</v>
      </c>
      <c r="B5" s="373">
        <v>8729990</v>
      </c>
      <c r="C5" s="373">
        <v>6446738</v>
      </c>
      <c r="D5" s="376">
        <v>6855304</v>
      </c>
      <c r="E5" s="369"/>
      <c r="F5" s="369"/>
      <c r="G5" s="369"/>
      <c r="H5" s="369"/>
      <c r="I5" s="369"/>
      <c r="J5" s="369"/>
      <c r="K5" s="369"/>
      <c r="L5" s="377"/>
    </row>
    <row r="6" spans="1:12" x14ac:dyDescent="0.2">
      <c r="A6" s="372" t="s">
        <v>364</v>
      </c>
      <c r="B6" s="373">
        <v>6917309</v>
      </c>
      <c r="C6" s="373">
        <v>5257828</v>
      </c>
      <c r="D6" s="376">
        <v>6390832</v>
      </c>
      <c r="E6" s="369"/>
      <c r="F6" s="369"/>
      <c r="G6" s="369"/>
      <c r="H6" s="369"/>
      <c r="I6" s="369"/>
      <c r="J6" s="369"/>
      <c r="K6" s="369"/>
      <c r="L6" s="377"/>
    </row>
    <row r="7" spans="1:12" x14ac:dyDescent="0.2">
      <c r="A7" s="372" t="s">
        <v>365</v>
      </c>
      <c r="B7" s="373">
        <v>6279818</v>
      </c>
      <c r="C7" s="373">
        <v>4011132</v>
      </c>
      <c r="D7" s="376">
        <v>5359130</v>
      </c>
      <c r="E7" s="369"/>
      <c r="F7" s="369"/>
      <c r="G7" s="369"/>
      <c r="H7" s="369"/>
      <c r="I7" s="369"/>
      <c r="J7" s="369"/>
      <c r="K7" s="369"/>
      <c r="L7" s="377"/>
    </row>
    <row r="8" spans="1:12" x14ac:dyDescent="0.2">
      <c r="A8" s="372" t="s">
        <v>366</v>
      </c>
      <c r="B8" s="373">
        <v>2830124</v>
      </c>
      <c r="C8" s="373">
        <v>1882173</v>
      </c>
      <c r="D8" s="376">
        <v>2267996</v>
      </c>
      <c r="E8" s="369"/>
      <c r="F8" s="369"/>
      <c r="G8" s="369"/>
      <c r="H8" s="369"/>
      <c r="I8" s="369"/>
      <c r="J8" s="369"/>
      <c r="K8" s="369"/>
      <c r="L8" s="377"/>
    </row>
    <row r="9" spans="1:12" x14ac:dyDescent="0.2">
      <c r="A9" s="372" t="s">
        <v>367</v>
      </c>
      <c r="B9" s="373">
        <v>1315518</v>
      </c>
      <c r="C9" s="373">
        <v>1210541</v>
      </c>
      <c r="D9" s="376">
        <v>1285145</v>
      </c>
      <c r="E9" s="369"/>
      <c r="F9" s="369"/>
      <c r="G9" s="369"/>
      <c r="H9" s="369"/>
      <c r="I9" s="369"/>
      <c r="J9" s="369"/>
      <c r="K9" s="369"/>
      <c r="L9" s="377"/>
    </row>
    <row r="10" spans="1:12" x14ac:dyDescent="0.2">
      <c r="A10" s="372" t="s">
        <v>784</v>
      </c>
      <c r="B10" s="373">
        <v>0</v>
      </c>
      <c r="C10" s="373"/>
      <c r="D10" s="376"/>
      <c r="E10" s="369"/>
      <c r="F10" s="369"/>
      <c r="G10" s="369"/>
      <c r="H10" s="369"/>
      <c r="I10" s="369"/>
      <c r="J10" s="369"/>
      <c r="K10" s="369"/>
      <c r="L10" s="377"/>
    </row>
    <row r="11" spans="1:12" x14ac:dyDescent="0.2">
      <c r="A11" s="372" t="s">
        <v>785</v>
      </c>
      <c r="B11" s="373">
        <v>0</v>
      </c>
      <c r="C11" s="373">
        <v>60000</v>
      </c>
      <c r="D11" s="376">
        <v>285077</v>
      </c>
      <c r="E11" s="369"/>
      <c r="F11" s="369"/>
      <c r="G11" s="369"/>
      <c r="H11" s="369"/>
      <c r="I11" s="369"/>
      <c r="J11" s="369"/>
      <c r="K11" s="369"/>
      <c r="L11" s="377"/>
    </row>
    <row r="12" spans="1:12" x14ac:dyDescent="0.2">
      <c r="A12" s="372" t="s">
        <v>786</v>
      </c>
      <c r="B12" s="373">
        <v>2356578</v>
      </c>
      <c r="C12" s="373"/>
      <c r="D12" s="376"/>
      <c r="E12" s="369"/>
      <c r="F12" s="369"/>
      <c r="G12" s="369"/>
      <c r="H12" s="369"/>
      <c r="I12" s="369"/>
      <c r="J12" s="369"/>
      <c r="K12" s="369"/>
      <c r="L12" s="377"/>
    </row>
    <row r="13" spans="1:12" x14ac:dyDescent="0.2">
      <c r="A13" s="372" t="s">
        <v>787</v>
      </c>
      <c r="B13" s="373">
        <v>253094</v>
      </c>
      <c r="C13" s="373">
        <v>571117</v>
      </c>
      <c r="D13" s="376">
        <v>570359</v>
      </c>
      <c r="E13" s="369"/>
      <c r="F13" s="369"/>
      <c r="G13" s="369"/>
      <c r="H13" s="369"/>
      <c r="I13" s="369"/>
      <c r="J13" s="369"/>
      <c r="K13" s="369"/>
      <c r="L13" s="377"/>
    </row>
    <row r="14" spans="1:12" x14ac:dyDescent="0.2">
      <c r="A14" s="372" t="s">
        <v>788</v>
      </c>
      <c r="B14" s="373">
        <v>3087887</v>
      </c>
      <c r="C14" s="373">
        <v>3394447</v>
      </c>
      <c r="D14" s="376">
        <v>3125993</v>
      </c>
      <c r="E14" s="369"/>
      <c r="F14" s="369"/>
      <c r="G14" s="369"/>
      <c r="H14" s="369"/>
      <c r="I14" s="369"/>
      <c r="J14" s="369"/>
      <c r="K14" s="369"/>
      <c r="L14" s="377"/>
    </row>
    <row r="15" spans="1:12" x14ac:dyDescent="0.2">
      <c r="A15" s="372" t="s">
        <v>789</v>
      </c>
      <c r="B15" s="373">
        <v>0</v>
      </c>
      <c r="C15" s="373">
        <v>0</v>
      </c>
      <c r="D15" s="376"/>
      <c r="E15" s="369"/>
      <c r="F15" s="369"/>
      <c r="G15" s="369"/>
      <c r="H15" s="369"/>
      <c r="I15" s="369"/>
      <c r="J15" s="369"/>
      <c r="K15" s="369"/>
      <c r="L15" s="377"/>
    </row>
    <row r="16" spans="1:12" x14ac:dyDescent="0.2">
      <c r="A16" s="372" t="s">
        <v>790</v>
      </c>
      <c r="B16" s="373"/>
      <c r="C16" s="373">
        <v>0</v>
      </c>
      <c r="D16" s="376"/>
      <c r="E16" s="369"/>
      <c r="F16" s="369"/>
      <c r="G16" s="369"/>
      <c r="H16" s="369"/>
      <c r="I16" s="369"/>
      <c r="J16" s="369"/>
      <c r="K16" s="369"/>
      <c r="L16" s="377"/>
    </row>
    <row r="17" spans="1:12" x14ac:dyDescent="0.2">
      <c r="A17" s="372" t="s">
        <v>791</v>
      </c>
      <c r="B17" s="373">
        <v>0</v>
      </c>
      <c r="C17" s="373">
        <v>0</v>
      </c>
      <c r="D17" s="376"/>
      <c r="E17" s="369"/>
      <c r="F17" s="369"/>
      <c r="G17" s="369"/>
      <c r="H17" s="369"/>
      <c r="I17" s="369"/>
      <c r="J17" s="369"/>
      <c r="K17" s="369"/>
      <c r="L17" s="377"/>
    </row>
    <row r="18" spans="1:12" x14ac:dyDescent="0.2">
      <c r="A18" s="372" t="s">
        <v>792</v>
      </c>
      <c r="B18" s="373">
        <v>3255947</v>
      </c>
      <c r="C18" s="373">
        <f>1308237+106879</f>
        <v>1415116</v>
      </c>
      <c r="D18" s="376">
        <v>1239570</v>
      </c>
      <c r="E18" s="369"/>
      <c r="F18" s="369"/>
      <c r="G18" s="369"/>
      <c r="H18" s="369"/>
      <c r="I18" s="369"/>
      <c r="J18" s="369"/>
      <c r="K18" s="369"/>
      <c r="L18" s="377"/>
    </row>
    <row r="19" spans="1:12" x14ac:dyDescent="0.2">
      <c r="A19" s="372" t="s">
        <v>793</v>
      </c>
      <c r="B19" s="373">
        <v>83724813</v>
      </c>
      <c r="C19" s="373">
        <f>129347102+882000</f>
        <v>130229102</v>
      </c>
      <c r="D19" s="376">
        <v>131105013</v>
      </c>
      <c r="E19" s="369"/>
      <c r="F19" s="369"/>
      <c r="G19" s="369"/>
      <c r="H19" s="369"/>
      <c r="I19" s="369"/>
      <c r="J19" s="369"/>
      <c r="K19" s="369"/>
      <c r="L19" s="377"/>
    </row>
    <row r="20" spans="1:12" x14ac:dyDescent="0.2">
      <c r="A20" s="372" t="s">
        <v>794</v>
      </c>
      <c r="B20" s="373">
        <v>56437870</v>
      </c>
      <c r="C20" s="373"/>
      <c r="D20" s="376"/>
      <c r="E20" s="369"/>
      <c r="F20" s="369"/>
      <c r="G20" s="369"/>
      <c r="H20" s="369"/>
      <c r="I20" s="369"/>
      <c r="J20" s="369"/>
      <c r="K20" s="369"/>
      <c r="L20" s="377"/>
    </row>
    <row r="21" spans="1:12" x14ac:dyDescent="0.2">
      <c r="A21" s="372" t="s">
        <v>795</v>
      </c>
      <c r="B21" s="373">
        <v>55492</v>
      </c>
      <c r="C21" s="373"/>
      <c r="D21" s="376"/>
      <c r="E21" s="369"/>
      <c r="F21" s="369"/>
      <c r="G21" s="369"/>
      <c r="H21" s="369"/>
      <c r="I21" s="369"/>
      <c r="J21" s="369"/>
      <c r="K21" s="369"/>
      <c r="L21" s="377"/>
    </row>
    <row r="22" spans="1:12" x14ac:dyDescent="0.2">
      <c r="A22" s="372" t="s">
        <v>796</v>
      </c>
      <c r="B22" s="373">
        <v>1343314</v>
      </c>
      <c r="C22" s="373">
        <f>897350+397387</f>
        <v>1294737</v>
      </c>
      <c r="D22" s="376">
        <v>939400</v>
      </c>
      <c r="E22" s="369"/>
      <c r="F22" s="369"/>
      <c r="G22" s="369"/>
      <c r="H22" s="369"/>
      <c r="I22" s="369"/>
      <c r="J22" s="369"/>
      <c r="K22" s="369"/>
      <c r="L22" s="377"/>
    </row>
    <row r="23" spans="1:12" x14ac:dyDescent="0.2">
      <c r="A23" s="372" t="s">
        <v>797</v>
      </c>
      <c r="B23" s="373">
        <v>2134924</v>
      </c>
      <c r="C23" s="373">
        <f>1938193+61497</f>
        <v>1999690</v>
      </c>
      <c r="D23" s="376">
        <v>2316499</v>
      </c>
      <c r="E23" s="369"/>
      <c r="F23" s="369"/>
      <c r="G23" s="369"/>
      <c r="H23" s="369"/>
      <c r="I23" s="369"/>
      <c r="J23" s="369"/>
      <c r="K23" s="369"/>
      <c r="L23" s="377"/>
    </row>
    <row r="24" spans="1:12" x14ac:dyDescent="0.2">
      <c r="A24" s="372" t="s">
        <v>798</v>
      </c>
      <c r="B24" s="373">
        <v>524051</v>
      </c>
      <c r="C24" s="373">
        <v>548349</v>
      </c>
      <c r="D24" s="376">
        <v>515560</v>
      </c>
      <c r="E24" s="369"/>
      <c r="F24" s="369"/>
      <c r="G24" s="369"/>
      <c r="H24" s="369"/>
      <c r="I24" s="369"/>
      <c r="J24" s="369"/>
      <c r="K24" s="369"/>
      <c r="L24" s="377"/>
    </row>
    <row r="25" spans="1:12" x14ac:dyDescent="0.2">
      <c r="A25" s="372" t="s">
        <v>799</v>
      </c>
      <c r="B25" s="373">
        <v>930660</v>
      </c>
      <c r="C25" s="373">
        <v>959135</v>
      </c>
      <c r="D25" s="376">
        <v>841414</v>
      </c>
      <c r="E25" s="369"/>
      <c r="F25" s="369"/>
      <c r="G25" s="369"/>
      <c r="H25" s="369"/>
      <c r="I25" s="369"/>
      <c r="J25" s="369"/>
      <c r="K25" s="369"/>
      <c r="L25" s="377"/>
    </row>
    <row r="26" spans="1:12" x14ac:dyDescent="0.2">
      <c r="A26" s="372" t="s">
        <v>800</v>
      </c>
      <c r="B26" s="373"/>
      <c r="C26" s="373">
        <v>0</v>
      </c>
      <c r="D26" s="376"/>
      <c r="E26" s="369"/>
      <c r="F26" s="369"/>
      <c r="G26" s="369"/>
      <c r="H26" s="369"/>
      <c r="I26" s="369"/>
      <c r="J26" s="369"/>
      <c r="K26" s="369"/>
      <c r="L26" s="377"/>
    </row>
    <row r="27" spans="1:12" x14ac:dyDescent="0.2">
      <c r="A27" s="372" t="s">
        <v>801</v>
      </c>
      <c r="B27" s="373">
        <v>1664556</v>
      </c>
      <c r="C27" s="373">
        <f>3781740+5962439</f>
        <v>9744179</v>
      </c>
      <c r="D27" s="376">
        <v>18431260</v>
      </c>
      <c r="E27" s="369"/>
      <c r="F27" s="369"/>
      <c r="G27" s="369"/>
      <c r="H27" s="369"/>
      <c r="I27" s="369"/>
      <c r="J27" s="369"/>
      <c r="K27" s="369"/>
      <c r="L27" s="377"/>
    </row>
    <row r="28" spans="1:12" x14ac:dyDescent="0.2">
      <c r="A28" s="372" t="s">
        <v>802</v>
      </c>
      <c r="B28" s="373">
        <v>0</v>
      </c>
      <c r="C28" s="373">
        <v>0</v>
      </c>
      <c r="D28" s="376"/>
      <c r="E28" s="369"/>
      <c r="F28" s="369"/>
      <c r="G28" s="369"/>
      <c r="H28" s="369"/>
      <c r="I28" s="369"/>
      <c r="J28" s="369"/>
      <c r="K28" s="369"/>
      <c r="L28" s="377"/>
    </row>
    <row r="29" spans="1:12" x14ac:dyDescent="0.2">
      <c r="A29" s="372" t="s">
        <v>803</v>
      </c>
      <c r="B29" s="373">
        <v>479620</v>
      </c>
      <c r="C29" s="373">
        <f>472301</f>
        <v>472301</v>
      </c>
      <c r="D29" s="376">
        <v>439258</v>
      </c>
      <c r="E29" s="369"/>
      <c r="F29" s="369"/>
      <c r="G29" s="369"/>
      <c r="H29" s="369"/>
      <c r="I29" s="369"/>
      <c r="J29" s="369"/>
      <c r="K29" s="369"/>
      <c r="L29" s="377"/>
    </row>
    <row r="30" spans="1:12" x14ac:dyDescent="0.2">
      <c r="A30" s="372" t="s">
        <v>804</v>
      </c>
      <c r="B30" s="373">
        <f>262679+1871451</f>
        <v>2134130</v>
      </c>
      <c r="C30" s="373">
        <f>804665+1881663+3037561</f>
        <v>5723889</v>
      </c>
      <c r="D30" s="376">
        <v>1745361</v>
      </c>
      <c r="E30" s="369"/>
      <c r="F30" s="369"/>
      <c r="G30" s="369"/>
      <c r="H30" s="369"/>
      <c r="I30" s="369"/>
      <c r="J30" s="369"/>
      <c r="K30" s="369"/>
      <c r="L30" s="377"/>
    </row>
    <row r="31" spans="1:12" x14ac:dyDescent="0.2">
      <c r="A31" s="372" t="s">
        <v>805</v>
      </c>
      <c r="B31" s="373">
        <f>2259584</f>
        <v>2259584</v>
      </c>
      <c r="C31" s="373">
        <f>2612772</f>
        <v>2612772</v>
      </c>
      <c r="D31" s="376">
        <v>3739260</v>
      </c>
      <c r="E31" s="369"/>
      <c r="F31" s="369"/>
      <c r="G31" s="369"/>
      <c r="H31" s="369"/>
      <c r="I31" s="369"/>
      <c r="J31" s="369"/>
      <c r="K31" s="369"/>
      <c r="L31" s="377"/>
    </row>
    <row r="32" spans="1:12" x14ac:dyDescent="0.2">
      <c r="A32" s="372" t="s">
        <v>806</v>
      </c>
      <c r="B32" s="373">
        <f>27834063+25500+15544</f>
        <v>27875107</v>
      </c>
      <c r="C32" s="373">
        <f>33084500+31500+5000000</f>
        <v>38116000</v>
      </c>
      <c r="D32" s="376">
        <v>30910923</v>
      </c>
      <c r="E32" s="369"/>
      <c r="F32" s="369"/>
      <c r="G32" s="369"/>
      <c r="H32" s="369"/>
      <c r="I32" s="369"/>
      <c r="J32" s="369"/>
      <c r="K32" s="369"/>
      <c r="L32" s="377"/>
    </row>
    <row r="33" spans="1:12" x14ac:dyDescent="0.2">
      <c r="A33" s="372" t="s">
        <v>807</v>
      </c>
      <c r="B33" s="373"/>
      <c r="C33" s="373">
        <v>0</v>
      </c>
      <c r="D33" s="376"/>
      <c r="E33" s="369"/>
      <c r="F33" s="369"/>
      <c r="G33" s="369"/>
      <c r="H33" s="369"/>
      <c r="I33" s="369"/>
      <c r="J33" s="369"/>
      <c r="K33" s="369"/>
      <c r="L33" s="377"/>
    </row>
    <row r="34" spans="1:12" x14ac:dyDescent="0.2">
      <c r="A34" s="372" t="s">
        <v>808</v>
      </c>
      <c r="B34" s="373">
        <v>98426</v>
      </c>
      <c r="C34" s="373">
        <f>98426</f>
        <v>98426</v>
      </c>
      <c r="D34" s="376">
        <v>98426</v>
      </c>
      <c r="E34" s="369"/>
      <c r="F34" s="369"/>
      <c r="G34" s="369"/>
      <c r="H34" s="369"/>
      <c r="I34" s="369"/>
      <c r="J34" s="369"/>
      <c r="K34" s="369"/>
      <c r="L34" s="377"/>
    </row>
    <row r="35" spans="1:12" x14ac:dyDescent="0.2">
      <c r="A35" s="372" t="s">
        <v>368</v>
      </c>
      <c r="B35" s="373">
        <v>0</v>
      </c>
      <c r="C35" s="373">
        <v>98371</v>
      </c>
      <c r="D35" s="376">
        <v>87196</v>
      </c>
      <c r="E35" s="378"/>
      <c r="F35" s="378"/>
      <c r="G35" s="378"/>
      <c r="H35" s="369"/>
      <c r="I35" s="369"/>
      <c r="J35" s="369"/>
      <c r="K35" s="369"/>
    </row>
    <row r="36" spans="1:12" x14ac:dyDescent="0.2">
      <c r="A36" s="372" t="s">
        <v>369</v>
      </c>
      <c r="B36" s="373">
        <f>14154090</f>
        <v>14154090</v>
      </c>
      <c r="C36" s="373">
        <v>11650621</v>
      </c>
      <c r="D36" s="376">
        <v>27627503</v>
      </c>
      <c r="E36" s="369"/>
      <c r="F36" s="369"/>
      <c r="G36" s="369"/>
      <c r="H36" s="369"/>
      <c r="I36" s="369"/>
      <c r="J36" s="369"/>
      <c r="K36" s="369"/>
    </row>
    <row r="37" spans="1:12" x14ac:dyDescent="0.2">
      <c r="A37" s="372" t="s">
        <v>809</v>
      </c>
      <c r="B37" s="373"/>
      <c r="C37" s="373">
        <f>3615+218000</f>
        <v>221615</v>
      </c>
      <c r="D37" s="376">
        <v>43704</v>
      </c>
      <c r="E37" s="379"/>
      <c r="F37" s="369"/>
      <c r="G37" s="369"/>
      <c r="H37" s="369"/>
      <c r="I37" s="369"/>
      <c r="J37" s="369"/>
      <c r="K37" s="369"/>
    </row>
    <row r="38" spans="1:12" x14ac:dyDescent="0.2">
      <c r="A38" s="372" t="s">
        <v>810</v>
      </c>
      <c r="B38" s="373"/>
      <c r="C38" s="373"/>
      <c r="D38" s="376">
        <v>8904</v>
      </c>
      <c r="E38" s="369"/>
      <c r="F38" s="369"/>
      <c r="G38" s="369"/>
      <c r="H38" s="369"/>
      <c r="I38" s="369"/>
      <c r="J38" s="369"/>
      <c r="K38" s="369"/>
    </row>
    <row r="39" spans="1:12" s="306" customFormat="1" ht="22.5" customHeight="1" x14ac:dyDescent="0.2">
      <c r="A39" s="380" t="s">
        <v>350</v>
      </c>
      <c r="B39" s="381">
        <f>SUM(B4:B38)</f>
        <v>239978218</v>
      </c>
      <c r="C39" s="381">
        <f>SUM(C4:C38)</f>
        <v>234923460</v>
      </c>
      <c r="D39" s="382">
        <f>SUM(D4:D38)</f>
        <v>254888309</v>
      </c>
      <c r="E39" s="383"/>
    </row>
    <row r="41" spans="1:12" s="301" customFormat="1" ht="28.35" customHeight="1" x14ac:dyDescent="0.2">
      <c r="A41" s="384" t="s">
        <v>371</v>
      </c>
      <c r="B41" s="300">
        <v>2019</v>
      </c>
      <c r="C41" s="300" t="s">
        <v>429</v>
      </c>
      <c r="D41" s="370" t="s">
        <v>430</v>
      </c>
    </row>
    <row r="42" spans="1:12" x14ac:dyDescent="0.2">
      <c r="A42" s="372" t="s">
        <v>362</v>
      </c>
      <c r="B42" s="373">
        <v>18341148</v>
      </c>
      <c r="C42" s="373">
        <v>10984805</v>
      </c>
      <c r="D42" s="374">
        <v>8659222</v>
      </c>
    </row>
    <row r="43" spans="1:12" x14ac:dyDescent="0.2">
      <c r="A43" s="372" t="s">
        <v>363</v>
      </c>
      <c r="B43" s="373">
        <v>14584264</v>
      </c>
      <c r="C43" s="373">
        <v>10988592</v>
      </c>
      <c r="D43" s="376">
        <v>6855304</v>
      </c>
      <c r="E43" s="369"/>
      <c r="F43" s="369"/>
      <c r="G43" s="369"/>
    </row>
    <row r="44" spans="1:12" x14ac:dyDescent="0.2">
      <c r="A44" s="372" t="s">
        <v>364</v>
      </c>
      <c r="B44" s="373">
        <v>8640098</v>
      </c>
      <c r="C44" s="373">
        <v>7165209</v>
      </c>
      <c r="D44" s="376">
        <v>6390832</v>
      </c>
      <c r="E44" s="385"/>
      <c r="F44" s="369"/>
      <c r="G44" s="369"/>
    </row>
    <row r="45" spans="1:12" x14ac:dyDescent="0.2">
      <c r="A45" s="372" t="s">
        <v>365</v>
      </c>
      <c r="B45" s="373">
        <v>8691667</v>
      </c>
      <c r="C45" s="373">
        <v>7293582</v>
      </c>
      <c r="D45" s="376">
        <v>5359130</v>
      </c>
      <c r="E45" s="385"/>
      <c r="F45" s="385"/>
      <c r="G45" s="385"/>
    </row>
    <row r="46" spans="1:12" x14ac:dyDescent="0.2">
      <c r="A46" s="372" t="s">
        <v>366</v>
      </c>
      <c r="B46" s="373">
        <v>4666464</v>
      </c>
      <c r="C46" s="373">
        <v>2982532</v>
      </c>
      <c r="D46" s="376">
        <v>2267996</v>
      </c>
      <c r="E46" s="385"/>
      <c r="F46" s="385"/>
      <c r="G46" s="385"/>
    </row>
    <row r="47" spans="1:12" x14ac:dyDescent="0.2">
      <c r="A47" s="372" t="s">
        <v>367</v>
      </c>
      <c r="B47" s="373">
        <v>1620403</v>
      </c>
      <c r="C47" s="373">
        <v>1514339</v>
      </c>
      <c r="D47" s="376">
        <v>1285145</v>
      </c>
      <c r="E47" s="385"/>
      <c r="F47" s="385"/>
      <c r="G47" s="385"/>
    </row>
    <row r="48" spans="1:12" x14ac:dyDescent="0.2">
      <c r="A48" s="372" t="s">
        <v>784</v>
      </c>
      <c r="B48" s="373">
        <v>170817</v>
      </c>
      <c r="C48" s="373"/>
      <c r="D48" s="376"/>
      <c r="E48" s="369"/>
      <c r="F48" s="369"/>
      <c r="G48" s="369"/>
      <c r="H48" s="369"/>
      <c r="I48" s="369"/>
      <c r="J48" s="369"/>
      <c r="K48" s="369"/>
      <c r="L48" s="377"/>
    </row>
    <row r="49" spans="1:12" x14ac:dyDescent="0.2">
      <c r="A49" s="372" t="s">
        <v>785</v>
      </c>
      <c r="B49" s="373">
        <v>19763</v>
      </c>
      <c r="C49" s="373">
        <v>60000</v>
      </c>
      <c r="D49" s="376">
        <v>285077</v>
      </c>
      <c r="E49" s="385"/>
      <c r="F49" s="385"/>
      <c r="G49" s="385"/>
      <c r="H49" s="385"/>
      <c r="I49" s="385"/>
      <c r="J49" s="385"/>
      <c r="K49" s="385"/>
      <c r="L49" s="377"/>
    </row>
    <row r="50" spans="1:12" x14ac:dyDescent="0.2">
      <c r="A50" s="372" t="s">
        <v>786</v>
      </c>
      <c r="B50" s="373">
        <v>2356578</v>
      </c>
      <c r="C50" s="373"/>
      <c r="D50" s="376"/>
      <c r="E50" s="385"/>
      <c r="F50" s="385"/>
      <c r="G50" s="385"/>
      <c r="H50" s="385"/>
      <c r="I50" s="385"/>
      <c r="J50" s="385"/>
      <c r="K50" s="385"/>
      <c r="L50" s="377"/>
    </row>
    <row r="51" spans="1:12" x14ac:dyDescent="0.2">
      <c r="A51" s="372" t="s">
        <v>787</v>
      </c>
      <c r="B51" s="373">
        <v>253094</v>
      </c>
      <c r="C51" s="373">
        <v>440183</v>
      </c>
      <c r="D51" s="376">
        <v>570359</v>
      </c>
      <c r="E51" s="369"/>
      <c r="F51" s="369"/>
      <c r="G51" s="369"/>
      <c r="H51" s="369"/>
      <c r="I51" s="369"/>
      <c r="J51" s="369"/>
      <c r="K51" s="369"/>
      <c r="L51" s="377"/>
    </row>
    <row r="52" spans="1:12" x14ac:dyDescent="0.2">
      <c r="A52" s="372" t="s">
        <v>788</v>
      </c>
      <c r="B52" s="373">
        <v>3872448</v>
      </c>
      <c r="C52" s="373">
        <f>3436823+600</f>
        <v>3437423</v>
      </c>
      <c r="D52" s="376">
        <v>3125993</v>
      </c>
      <c r="F52" s="385"/>
      <c r="G52" s="385"/>
      <c r="H52" s="385"/>
      <c r="I52" s="385"/>
      <c r="J52" s="385"/>
      <c r="K52" s="385"/>
      <c r="L52" s="377"/>
    </row>
    <row r="53" spans="1:12" x14ac:dyDescent="0.2">
      <c r="A53" s="372" t="s">
        <v>789</v>
      </c>
      <c r="B53" s="373">
        <v>29500</v>
      </c>
      <c r="C53" s="373">
        <v>3021920</v>
      </c>
      <c r="D53" s="376"/>
      <c r="E53" s="369"/>
      <c r="F53" s="369"/>
      <c r="G53" s="369"/>
      <c r="H53" s="369"/>
      <c r="I53" s="369"/>
      <c r="J53" s="369"/>
      <c r="K53" s="369"/>
      <c r="L53" s="377"/>
    </row>
    <row r="54" spans="1:12" x14ac:dyDescent="0.2">
      <c r="A54" s="372" t="s">
        <v>790</v>
      </c>
      <c r="B54" s="373"/>
      <c r="C54" s="373">
        <v>1100908</v>
      </c>
      <c r="D54" s="376"/>
      <c r="E54" s="369"/>
      <c r="F54" s="369"/>
      <c r="G54" s="369"/>
      <c r="H54" s="369"/>
      <c r="I54" s="369"/>
      <c r="J54" s="369"/>
      <c r="K54" s="369"/>
      <c r="L54" s="377"/>
    </row>
    <row r="55" spans="1:12" x14ac:dyDescent="0.2">
      <c r="A55" s="372" t="s">
        <v>791</v>
      </c>
      <c r="B55" s="373">
        <v>11420107</v>
      </c>
      <c r="C55" s="373">
        <v>522796</v>
      </c>
      <c r="D55" s="376"/>
      <c r="E55" s="369"/>
      <c r="F55" s="369"/>
      <c r="G55" s="369"/>
      <c r="H55" s="369"/>
      <c r="I55" s="369"/>
      <c r="J55" s="369"/>
      <c r="K55" s="369"/>
      <c r="L55" s="377"/>
    </row>
    <row r="56" spans="1:12" x14ac:dyDescent="0.2">
      <c r="A56" s="372" t="s">
        <v>792</v>
      </c>
      <c r="B56" s="373">
        <v>4771021</v>
      </c>
      <c r="C56" s="373">
        <f>1357949+124053</f>
        <v>1482002</v>
      </c>
      <c r="D56" s="376">
        <v>1239570</v>
      </c>
      <c r="F56" s="385"/>
      <c r="G56" s="385"/>
      <c r="H56" s="385"/>
      <c r="I56" s="385"/>
      <c r="J56" s="385"/>
      <c r="K56" s="385"/>
      <c r="L56" s="377"/>
    </row>
    <row r="57" spans="1:12" x14ac:dyDescent="0.2">
      <c r="A57" s="372" t="s">
        <v>793</v>
      </c>
      <c r="B57" s="373">
        <v>111919315</v>
      </c>
      <c r="C57" s="373">
        <f>127365545+762325</f>
        <v>128127870</v>
      </c>
      <c r="D57" s="376">
        <v>131105013</v>
      </c>
      <c r="F57" s="385"/>
      <c r="G57" s="385"/>
      <c r="H57" s="385"/>
      <c r="I57" s="385"/>
      <c r="J57" s="385"/>
      <c r="K57" s="385"/>
      <c r="L57" s="377"/>
    </row>
    <row r="58" spans="1:12" x14ac:dyDescent="0.2">
      <c r="A58" s="372" t="s">
        <v>794</v>
      </c>
      <c r="B58" s="373">
        <v>53810273</v>
      </c>
      <c r="C58" s="373"/>
      <c r="D58" s="376"/>
      <c r="E58" s="369"/>
      <c r="F58" s="369"/>
      <c r="G58" s="369"/>
      <c r="H58" s="369"/>
      <c r="I58" s="369"/>
      <c r="J58" s="369"/>
      <c r="K58" s="369"/>
      <c r="L58" s="377"/>
    </row>
    <row r="59" spans="1:12" x14ac:dyDescent="0.2">
      <c r="A59" s="372" t="s">
        <v>795</v>
      </c>
      <c r="B59" s="373">
        <v>683140</v>
      </c>
      <c r="C59" s="373"/>
      <c r="D59" s="376"/>
      <c r="E59" s="369"/>
      <c r="F59" s="369"/>
      <c r="G59" s="369"/>
      <c r="H59" s="369"/>
      <c r="I59" s="369"/>
      <c r="J59" s="369"/>
      <c r="K59" s="369"/>
      <c r="L59" s="377"/>
    </row>
    <row r="60" spans="1:12" x14ac:dyDescent="0.2">
      <c r="A60" s="372" t="s">
        <v>796</v>
      </c>
      <c r="B60" s="373">
        <v>1222079</v>
      </c>
      <c r="C60" s="373">
        <f>939708+397387</f>
        <v>1337095</v>
      </c>
      <c r="D60" s="376">
        <v>939400</v>
      </c>
      <c r="F60" s="383"/>
      <c r="G60" s="385"/>
      <c r="H60" s="386"/>
      <c r="I60" s="385"/>
      <c r="J60" s="386"/>
      <c r="K60" s="385"/>
      <c r="L60" s="377"/>
    </row>
    <row r="61" spans="1:12" x14ac:dyDescent="0.2">
      <c r="A61" s="372" t="s">
        <v>797</v>
      </c>
      <c r="B61" s="373">
        <v>3366609</v>
      </c>
      <c r="C61" s="373">
        <f>2070679+61497+618332</f>
        <v>2750508</v>
      </c>
      <c r="D61" s="376">
        <v>2316499</v>
      </c>
      <c r="G61" s="385"/>
      <c r="H61" s="385"/>
      <c r="I61" s="385"/>
      <c r="J61" s="385"/>
      <c r="K61" s="385"/>
      <c r="L61" s="377"/>
    </row>
    <row r="62" spans="1:12" x14ac:dyDescent="0.2">
      <c r="A62" s="372" t="s">
        <v>798</v>
      </c>
      <c r="B62" s="373">
        <v>596337</v>
      </c>
      <c r="C62" s="373">
        <v>648104</v>
      </c>
      <c r="D62" s="376">
        <v>515560</v>
      </c>
      <c r="E62" s="387"/>
      <c r="F62" s="386"/>
      <c r="G62" s="385"/>
      <c r="H62" s="385"/>
      <c r="I62" s="385"/>
      <c r="J62" s="385"/>
      <c r="K62" s="385"/>
      <c r="L62" s="377"/>
    </row>
    <row r="63" spans="1:12" x14ac:dyDescent="0.2">
      <c r="A63" s="372" t="s">
        <v>799</v>
      </c>
      <c r="B63" s="373">
        <v>1117151</v>
      </c>
      <c r="C63" s="373">
        <v>965003</v>
      </c>
      <c r="D63" s="376">
        <v>841414</v>
      </c>
      <c r="F63" s="385"/>
      <c r="G63" s="385"/>
      <c r="H63" s="385"/>
      <c r="I63" s="385"/>
      <c r="J63" s="385"/>
      <c r="K63" s="385"/>
      <c r="L63" s="377"/>
    </row>
    <row r="64" spans="1:12" x14ac:dyDescent="0.2">
      <c r="A64" s="372" t="s">
        <v>800</v>
      </c>
      <c r="B64" s="373"/>
      <c r="C64" s="373">
        <v>120343</v>
      </c>
      <c r="D64" s="376"/>
      <c r="E64" s="369"/>
      <c r="F64" s="369"/>
      <c r="G64" s="369"/>
      <c r="H64" s="369"/>
      <c r="I64" s="369"/>
      <c r="J64" s="369"/>
      <c r="K64" s="369"/>
      <c r="L64" s="377"/>
    </row>
    <row r="65" spans="1:12" x14ac:dyDescent="0.2">
      <c r="A65" s="372" t="s">
        <v>801</v>
      </c>
      <c r="B65" s="373">
        <v>13496936</v>
      </c>
      <c r="C65" s="373">
        <f>4554895+1628649</f>
        <v>6183544</v>
      </c>
      <c r="D65" s="376">
        <v>18431260</v>
      </c>
      <c r="F65" s="385"/>
      <c r="G65" s="385"/>
      <c r="H65" s="385"/>
      <c r="I65" s="385"/>
      <c r="J65" s="385"/>
      <c r="K65" s="385"/>
      <c r="L65" s="377"/>
    </row>
    <row r="66" spans="1:12" x14ac:dyDescent="0.2">
      <c r="A66" s="372" t="s">
        <v>802</v>
      </c>
      <c r="B66" s="373">
        <f>1154200+700155</f>
        <v>1854355</v>
      </c>
      <c r="C66" s="373">
        <v>684080</v>
      </c>
      <c r="D66" s="376"/>
      <c r="E66" s="369"/>
      <c r="F66" s="369"/>
      <c r="G66" s="369"/>
      <c r="H66" s="369"/>
      <c r="I66" s="369"/>
      <c r="J66" s="369"/>
      <c r="K66" s="369"/>
      <c r="L66" s="377"/>
    </row>
    <row r="67" spans="1:12" x14ac:dyDescent="0.2">
      <c r="A67" s="372" t="s">
        <v>803</v>
      </c>
      <c r="B67" s="373">
        <v>460668</v>
      </c>
      <c r="C67" s="373">
        <f>347542+8370</f>
        <v>355912</v>
      </c>
      <c r="D67" s="376">
        <v>439258</v>
      </c>
      <c r="F67" s="385"/>
      <c r="G67" s="383"/>
      <c r="H67" s="386"/>
      <c r="I67" s="385"/>
      <c r="J67" s="386"/>
      <c r="K67" s="385"/>
      <c r="L67" s="377"/>
    </row>
    <row r="68" spans="1:12" x14ac:dyDescent="0.2">
      <c r="A68" s="372" t="s">
        <v>804</v>
      </c>
      <c r="B68" s="373">
        <f>2694085+1871451+2593435</f>
        <v>7158971</v>
      </c>
      <c r="C68" s="373">
        <f>842226+1801663+1300000</f>
        <v>3943889</v>
      </c>
      <c r="D68" s="376">
        <v>1745361</v>
      </c>
      <c r="F68" s="385"/>
      <c r="G68" s="383"/>
      <c r="H68" s="386"/>
      <c r="I68" s="385"/>
      <c r="J68" s="385"/>
      <c r="K68" s="385"/>
      <c r="L68" s="377"/>
    </row>
    <row r="69" spans="1:12" x14ac:dyDescent="0.2">
      <c r="A69" s="372" t="s">
        <v>805</v>
      </c>
      <c r="B69" s="373">
        <f>3737079+176200</f>
        <v>3913279</v>
      </c>
      <c r="C69" s="373">
        <f>2871535+62525</f>
        <v>2934060</v>
      </c>
      <c r="D69" s="376">
        <v>3739260</v>
      </c>
      <c r="E69" s="385"/>
      <c r="F69" s="385"/>
      <c r="G69" s="386"/>
      <c r="H69" s="386"/>
      <c r="I69" s="385"/>
      <c r="J69" s="385"/>
      <c r="K69" s="385"/>
      <c r="L69" s="377"/>
    </row>
    <row r="70" spans="1:12" x14ac:dyDescent="0.2">
      <c r="A70" s="372" t="s">
        <v>806</v>
      </c>
      <c r="B70" s="373">
        <f>42851299+27548+15544+11232186</f>
        <v>54126577</v>
      </c>
      <c r="C70" s="373">
        <f>3054622+31500+6541971</f>
        <v>9628093</v>
      </c>
      <c r="D70" s="376">
        <v>30910923</v>
      </c>
      <c r="E70" s="385"/>
      <c r="F70" s="385"/>
      <c r="G70" s="386"/>
      <c r="H70" s="386"/>
      <c r="I70" s="385"/>
      <c r="J70" s="385"/>
      <c r="K70" s="385"/>
      <c r="L70" s="377"/>
    </row>
    <row r="71" spans="1:12" x14ac:dyDescent="0.2">
      <c r="A71" s="372" t="s">
        <v>807</v>
      </c>
      <c r="B71" s="373"/>
      <c r="C71" s="373">
        <f>50000</f>
        <v>50000</v>
      </c>
      <c r="D71" s="376"/>
      <c r="E71" s="369"/>
      <c r="F71" s="369"/>
      <c r="G71" s="369"/>
      <c r="H71" s="369"/>
      <c r="I71" s="369"/>
      <c r="J71" s="369"/>
      <c r="K71" s="369"/>
      <c r="L71" s="377"/>
    </row>
    <row r="72" spans="1:12" x14ac:dyDescent="0.2">
      <c r="A72" s="372" t="s">
        <v>808</v>
      </c>
      <c r="B72" s="373">
        <v>672422</v>
      </c>
      <c r="C72" s="373">
        <v>98426</v>
      </c>
      <c r="D72" s="376">
        <v>98426</v>
      </c>
      <c r="E72" s="385"/>
      <c r="F72" s="385"/>
      <c r="G72" s="386"/>
      <c r="H72" s="386"/>
      <c r="I72" s="385"/>
      <c r="J72" s="385"/>
      <c r="K72" s="385"/>
      <c r="L72" s="377"/>
    </row>
    <row r="73" spans="1:12" x14ac:dyDescent="0.2">
      <c r="A73" s="372" t="s">
        <v>368</v>
      </c>
      <c r="B73" s="373">
        <v>74850</v>
      </c>
      <c r="C73" s="373">
        <v>146801</v>
      </c>
      <c r="D73" s="376">
        <v>87196</v>
      </c>
    </row>
    <row r="74" spans="1:12" x14ac:dyDescent="0.2">
      <c r="A74" s="372" t="s">
        <v>369</v>
      </c>
      <c r="B74" s="373">
        <f>27134693+1043688</f>
        <v>28178381</v>
      </c>
      <c r="C74" s="373">
        <v>12301490</v>
      </c>
      <c r="D74" s="376">
        <v>27627503</v>
      </c>
      <c r="E74" s="369"/>
    </row>
    <row r="75" spans="1:12" x14ac:dyDescent="0.2">
      <c r="A75" s="372" t="s">
        <v>809</v>
      </c>
      <c r="B75" s="373"/>
      <c r="C75" s="373">
        <f>454766+132427</f>
        <v>587193</v>
      </c>
      <c r="D75" s="376">
        <v>43704</v>
      </c>
      <c r="F75" s="385"/>
    </row>
    <row r="76" spans="1:12" x14ac:dyDescent="0.2">
      <c r="A76" s="372" t="s">
        <v>810</v>
      </c>
      <c r="B76" s="373"/>
      <c r="C76" s="373"/>
      <c r="D76" s="376">
        <v>8904</v>
      </c>
      <c r="F76" s="385"/>
    </row>
    <row r="77" spans="1:12" s="306" customFormat="1" ht="22.5" customHeight="1" x14ac:dyDescent="0.2">
      <c r="A77" s="380" t="s">
        <v>351</v>
      </c>
      <c r="B77" s="381">
        <f>SUM(B42:B76)</f>
        <v>362088715</v>
      </c>
      <c r="C77" s="381">
        <f>SUM(C42:C76)</f>
        <v>221856702</v>
      </c>
      <c r="D77" s="382">
        <f>SUM(D42:D76)</f>
        <v>254888309</v>
      </c>
    </row>
    <row r="78" spans="1:12" x14ac:dyDescent="0.2">
      <c r="A78" s="388"/>
    </row>
    <row r="79" spans="1:12" s="301" customFormat="1" ht="28.35" customHeight="1" x14ac:dyDescent="0.2">
      <c r="A79" s="384" t="s">
        <v>372</v>
      </c>
      <c r="B79" s="300">
        <v>2019</v>
      </c>
      <c r="C79" s="300" t="s">
        <v>429</v>
      </c>
      <c r="D79" s="370" t="s">
        <v>430</v>
      </c>
    </row>
    <row r="80" spans="1:12" x14ac:dyDescent="0.2">
      <c r="A80" s="372" t="s">
        <v>362</v>
      </c>
      <c r="B80" s="373">
        <v>15957923.539999999</v>
      </c>
      <c r="C80" s="373">
        <v>10984805</v>
      </c>
      <c r="D80" s="374">
        <v>8659222</v>
      </c>
      <c r="E80" s="368"/>
      <c r="F80" s="368"/>
      <c r="G80" s="368"/>
      <c r="H80" s="368"/>
      <c r="I80" s="368"/>
      <c r="J80" s="368"/>
      <c r="K80" s="368"/>
    </row>
    <row r="81" spans="1:12" x14ac:dyDescent="0.2">
      <c r="A81" s="372" t="s">
        <v>363</v>
      </c>
      <c r="B81" s="373">
        <v>12378252.689999999</v>
      </c>
      <c r="C81" s="373">
        <v>10988592</v>
      </c>
      <c r="D81" s="376">
        <v>6855304</v>
      </c>
      <c r="E81" s="385"/>
      <c r="F81" s="385"/>
      <c r="G81" s="385"/>
      <c r="H81" s="385"/>
      <c r="I81" s="385"/>
      <c r="J81" s="385"/>
      <c r="K81" s="385"/>
    </row>
    <row r="82" spans="1:12" x14ac:dyDescent="0.2">
      <c r="A82" s="372" t="s">
        <v>364</v>
      </c>
      <c r="B82" s="373">
        <v>8078168.0999999996</v>
      </c>
      <c r="C82" s="373">
        <v>7165209</v>
      </c>
      <c r="D82" s="376">
        <v>6390832</v>
      </c>
      <c r="E82" s="385"/>
      <c r="F82" s="385"/>
      <c r="G82" s="385"/>
      <c r="H82" s="385"/>
      <c r="I82" s="385"/>
      <c r="J82" s="385"/>
      <c r="K82" s="385"/>
    </row>
    <row r="83" spans="1:12" x14ac:dyDescent="0.2">
      <c r="A83" s="372" t="s">
        <v>365</v>
      </c>
      <c r="B83" s="373">
        <v>7850325.9900000002</v>
      </c>
      <c r="C83" s="373">
        <v>7293582</v>
      </c>
      <c r="D83" s="376">
        <v>5359130</v>
      </c>
      <c r="E83" s="385"/>
      <c r="F83" s="385"/>
      <c r="G83" s="385"/>
      <c r="H83" s="385"/>
      <c r="I83" s="385"/>
      <c r="J83" s="385"/>
      <c r="K83" s="385"/>
    </row>
    <row r="84" spans="1:12" x14ac:dyDescent="0.2">
      <c r="A84" s="372" t="s">
        <v>366</v>
      </c>
      <c r="B84" s="373">
        <v>4383089.3099999996</v>
      </c>
      <c r="C84" s="373">
        <v>2982532</v>
      </c>
      <c r="D84" s="376">
        <v>2267996</v>
      </c>
      <c r="E84" s="386"/>
      <c r="F84" s="385"/>
      <c r="G84" s="385"/>
      <c r="H84" s="385"/>
      <c r="I84" s="385"/>
      <c r="J84" s="385"/>
      <c r="K84" s="385"/>
    </row>
    <row r="85" spans="1:12" x14ac:dyDescent="0.2">
      <c r="A85" s="372" t="s">
        <v>367</v>
      </c>
      <c r="B85" s="373">
        <v>1515026.51</v>
      </c>
      <c r="C85" s="373">
        <v>1514339</v>
      </c>
      <c r="D85" s="376">
        <v>1285145</v>
      </c>
      <c r="E85" s="385"/>
      <c r="F85" s="385"/>
      <c r="G85" s="385"/>
      <c r="H85" s="385"/>
      <c r="I85" s="385"/>
      <c r="J85" s="385"/>
      <c r="K85" s="385"/>
    </row>
    <row r="86" spans="1:12" x14ac:dyDescent="0.2">
      <c r="A86" s="372" t="s">
        <v>784</v>
      </c>
      <c r="B86" s="373">
        <v>98450.02</v>
      </c>
      <c r="C86" s="373"/>
      <c r="D86" s="376"/>
      <c r="E86" s="369"/>
      <c r="F86" s="369"/>
      <c r="G86" s="369"/>
      <c r="H86" s="369"/>
      <c r="I86" s="369"/>
      <c r="J86" s="369"/>
      <c r="K86" s="369"/>
      <c r="L86" s="377"/>
    </row>
    <row r="87" spans="1:12" x14ac:dyDescent="0.2">
      <c r="A87" s="372" t="s">
        <v>785</v>
      </c>
      <c r="B87" s="373">
        <v>5056.66</v>
      </c>
      <c r="C87" s="373">
        <v>60000</v>
      </c>
      <c r="D87" s="376">
        <v>285077</v>
      </c>
      <c r="E87" s="385"/>
      <c r="F87" s="385"/>
      <c r="G87" s="385"/>
      <c r="H87" s="385"/>
      <c r="I87" s="385"/>
      <c r="J87" s="385"/>
      <c r="K87" s="385"/>
      <c r="L87" s="377"/>
    </row>
    <row r="88" spans="1:12" x14ac:dyDescent="0.2">
      <c r="A88" s="372" t="s">
        <v>786</v>
      </c>
      <c r="B88" s="373">
        <v>2175731.4</v>
      </c>
      <c r="C88" s="373"/>
      <c r="D88" s="376"/>
      <c r="E88" s="385"/>
      <c r="F88" s="385"/>
      <c r="G88" s="385"/>
      <c r="H88" s="385"/>
      <c r="I88" s="385"/>
      <c r="J88" s="385"/>
      <c r="K88" s="385"/>
      <c r="L88" s="377"/>
    </row>
    <row r="89" spans="1:12" x14ac:dyDescent="0.2">
      <c r="A89" s="372" t="s">
        <v>787</v>
      </c>
      <c r="B89" s="373">
        <v>243668.83</v>
      </c>
      <c r="C89" s="373">
        <v>440183</v>
      </c>
      <c r="D89" s="376">
        <v>570359</v>
      </c>
      <c r="E89" s="369"/>
      <c r="F89" s="369"/>
      <c r="G89" s="369"/>
      <c r="H89" s="369"/>
      <c r="I89" s="369"/>
      <c r="J89" s="369"/>
      <c r="K89" s="369"/>
      <c r="L89" s="377"/>
    </row>
    <row r="90" spans="1:12" x14ac:dyDescent="0.2">
      <c r="A90" s="372" t="s">
        <v>788</v>
      </c>
      <c r="B90" s="373">
        <v>3550181.4899999998</v>
      </c>
      <c r="C90" s="373">
        <f>3436823+600</f>
        <v>3437423</v>
      </c>
      <c r="D90" s="376">
        <v>3125993</v>
      </c>
      <c r="E90" s="385"/>
      <c r="F90" s="385"/>
      <c r="G90" s="385"/>
      <c r="H90" s="385"/>
      <c r="I90" s="385"/>
      <c r="J90" s="385"/>
      <c r="K90" s="385"/>
      <c r="L90" s="377"/>
    </row>
    <row r="91" spans="1:12" x14ac:dyDescent="0.2">
      <c r="A91" s="372" t="s">
        <v>789</v>
      </c>
      <c r="B91" s="373">
        <v>24797.8</v>
      </c>
      <c r="C91" s="373">
        <v>3021920</v>
      </c>
      <c r="D91" s="376"/>
      <c r="E91" s="369"/>
      <c r="F91" s="369"/>
      <c r="G91" s="369"/>
      <c r="H91" s="369"/>
      <c r="I91" s="369"/>
      <c r="J91" s="369"/>
      <c r="K91" s="369"/>
      <c r="L91" s="377"/>
    </row>
    <row r="92" spans="1:12" x14ac:dyDescent="0.2">
      <c r="A92" s="372" t="s">
        <v>790</v>
      </c>
      <c r="B92" s="373"/>
      <c r="C92" s="373">
        <v>1100908</v>
      </c>
      <c r="D92" s="376"/>
      <c r="E92" s="369"/>
      <c r="F92" s="369"/>
      <c r="G92" s="369"/>
      <c r="H92" s="369"/>
      <c r="I92" s="369"/>
      <c r="J92" s="369"/>
      <c r="K92" s="369"/>
      <c r="L92" s="377"/>
    </row>
    <row r="93" spans="1:12" x14ac:dyDescent="0.2">
      <c r="A93" s="372" t="s">
        <v>791</v>
      </c>
      <c r="B93" s="373">
        <v>5788389.4199999999</v>
      </c>
      <c r="C93" s="373">
        <v>522796</v>
      </c>
      <c r="D93" s="376"/>
      <c r="E93" s="369"/>
      <c r="F93" s="369"/>
      <c r="G93" s="369"/>
      <c r="H93" s="369"/>
      <c r="I93" s="369"/>
      <c r="J93" s="369"/>
      <c r="K93" s="369"/>
      <c r="L93" s="377"/>
    </row>
    <row r="94" spans="1:12" x14ac:dyDescent="0.2">
      <c r="A94" s="372" t="s">
        <v>792</v>
      </c>
      <c r="B94" s="373">
        <v>4294006.12</v>
      </c>
      <c r="C94" s="373">
        <f>1357949+124053</f>
        <v>1482002</v>
      </c>
      <c r="D94" s="376">
        <v>1239570</v>
      </c>
      <c r="E94" s="385"/>
      <c r="F94" s="385"/>
      <c r="G94" s="385"/>
      <c r="H94" s="385"/>
      <c r="I94" s="385"/>
      <c r="J94" s="385"/>
      <c r="K94" s="385"/>
      <c r="L94" s="377"/>
    </row>
    <row r="95" spans="1:12" x14ac:dyDescent="0.2">
      <c r="A95" s="372" t="s">
        <v>793</v>
      </c>
      <c r="B95" s="373">
        <v>109067176.64</v>
      </c>
      <c r="C95" s="373">
        <f>127365545+762325</f>
        <v>128127870</v>
      </c>
      <c r="D95" s="376">
        <v>131105013</v>
      </c>
      <c r="E95" s="385"/>
      <c r="F95" s="385"/>
      <c r="G95" s="385"/>
      <c r="H95" s="385"/>
      <c r="I95" s="385"/>
      <c r="J95" s="385"/>
      <c r="K95" s="385"/>
      <c r="L95" s="377"/>
    </row>
    <row r="96" spans="1:12" x14ac:dyDescent="0.2">
      <c r="A96" s="372" t="s">
        <v>794</v>
      </c>
      <c r="B96" s="373">
        <v>47597393.980000004</v>
      </c>
      <c r="C96" s="373"/>
      <c r="D96" s="376"/>
      <c r="E96" s="369"/>
      <c r="F96" s="369"/>
      <c r="G96" s="369"/>
      <c r="H96" s="369"/>
      <c r="I96" s="369"/>
      <c r="J96" s="369"/>
      <c r="K96" s="369"/>
      <c r="L96" s="377"/>
    </row>
    <row r="97" spans="1:12" x14ac:dyDescent="0.2">
      <c r="A97" s="372" t="s">
        <v>795</v>
      </c>
      <c r="B97" s="373">
        <v>50289.7</v>
      </c>
      <c r="C97" s="373"/>
      <c r="D97" s="376"/>
      <c r="E97" s="369"/>
      <c r="F97" s="369"/>
      <c r="G97" s="369"/>
      <c r="H97" s="369"/>
      <c r="I97" s="369"/>
      <c r="J97" s="369"/>
      <c r="K97" s="369"/>
      <c r="L97" s="377"/>
    </row>
    <row r="98" spans="1:12" x14ac:dyDescent="0.2">
      <c r="A98" s="372" t="s">
        <v>796</v>
      </c>
      <c r="B98" s="373">
        <v>959045.46</v>
      </c>
      <c r="C98" s="373">
        <f>939708+397387</f>
        <v>1337095</v>
      </c>
      <c r="D98" s="376">
        <v>939400</v>
      </c>
      <c r="E98" s="385"/>
      <c r="F98" s="386"/>
      <c r="G98" s="385"/>
      <c r="H98" s="386"/>
      <c r="I98" s="385"/>
      <c r="J98" s="386"/>
      <c r="K98" s="385"/>
      <c r="L98" s="377"/>
    </row>
    <row r="99" spans="1:12" x14ac:dyDescent="0.2">
      <c r="A99" s="372" t="s">
        <v>797</v>
      </c>
      <c r="B99" s="373">
        <v>3205905.17</v>
      </c>
      <c r="C99" s="373">
        <f>2070679+61497+618332</f>
        <v>2750508</v>
      </c>
      <c r="D99" s="376">
        <v>2316499</v>
      </c>
      <c r="E99" s="385"/>
      <c r="F99" s="385"/>
      <c r="G99" s="385"/>
      <c r="H99" s="385"/>
      <c r="I99" s="385"/>
      <c r="J99" s="385"/>
      <c r="K99" s="385"/>
      <c r="L99" s="377"/>
    </row>
    <row r="100" spans="1:12" x14ac:dyDescent="0.2">
      <c r="A100" s="372" t="s">
        <v>798</v>
      </c>
      <c r="B100" s="373">
        <v>574441.64</v>
      </c>
      <c r="C100" s="373">
        <v>648104</v>
      </c>
      <c r="D100" s="376">
        <v>515560</v>
      </c>
      <c r="E100" s="386"/>
      <c r="F100" s="386"/>
      <c r="G100" s="385"/>
      <c r="H100" s="385"/>
      <c r="I100" s="385"/>
      <c r="J100" s="385"/>
      <c r="K100" s="385"/>
      <c r="L100" s="377"/>
    </row>
    <row r="101" spans="1:12" x14ac:dyDescent="0.2">
      <c r="A101" s="372" t="s">
        <v>799</v>
      </c>
      <c r="B101" s="373">
        <v>1108181</v>
      </c>
      <c r="C101" s="373">
        <v>965003</v>
      </c>
      <c r="D101" s="376">
        <v>841414</v>
      </c>
      <c r="E101" s="385"/>
      <c r="F101" s="385"/>
      <c r="G101" s="385"/>
      <c r="H101" s="385"/>
      <c r="I101" s="385"/>
      <c r="J101" s="385"/>
      <c r="K101" s="385"/>
      <c r="L101" s="377"/>
    </row>
    <row r="102" spans="1:12" x14ac:dyDescent="0.2">
      <c r="A102" s="372" t="s">
        <v>800</v>
      </c>
      <c r="B102" s="373"/>
      <c r="C102" s="373">
        <v>120343</v>
      </c>
      <c r="D102" s="376"/>
      <c r="E102" s="369"/>
      <c r="F102" s="369"/>
      <c r="G102" s="369"/>
      <c r="H102" s="369"/>
      <c r="I102" s="369"/>
      <c r="J102" s="369"/>
      <c r="K102" s="369"/>
      <c r="L102" s="377"/>
    </row>
    <row r="103" spans="1:12" x14ac:dyDescent="0.2">
      <c r="A103" s="372" t="s">
        <v>801</v>
      </c>
      <c r="B103" s="373">
        <v>10727067.25</v>
      </c>
      <c r="C103" s="373">
        <f>4554895+1628649</f>
        <v>6183544</v>
      </c>
      <c r="D103" s="376">
        <v>18431260</v>
      </c>
      <c r="E103" s="385"/>
      <c r="F103" s="385"/>
      <c r="G103" s="385"/>
      <c r="H103" s="385"/>
      <c r="I103" s="385"/>
      <c r="J103" s="385"/>
      <c r="K103" s="385"/>
      <c r="L103" s="377"/>
    </row>
    <row r="104" spans="1:12" x14ac:dyDescent="0.2">
      <c r="A104" s="372" t="s">
        <v>802</v>
      </c>
      <c r="B104" s="373">
        <f>599884.08+394442.4</f>
        <v>994326.48</v>
      </c>
      <c r="C104" s="373">
        <v>684080</v>
      </c>
      <c r="D104" s="376"/>
      <c r="E104" s="369"/>
      <c r="F104" s="369"/>
      <c r="G104" s="369"/>
      <c r="H104" s="369"/>
      <c r="I104" s="369"/>
      <c r="J104" s="369"/>
      <c r="K104" s="369"/>
      <c r="L104" s="377"/>
    </row>
    <row r="105" spans="1:12" x14ac:dyDescent="0.2">
      <c r="A105" s="372" t="s">
        <v>803</v>
      </c>
      <c r="B105" s="373">
        <v>444837.4</v>
      </c>
      <c r="C105" s="373">
        <f>347542+8370</f>
        <v>355912</v>
      </c>
      <c r="D105" s="376">
        <v>439258</v>
      </c>
      <c r="E105" s="385"/>
      <c r="F105" s="385"/>
      <c r="G105" s="386"/>
      <c r="H105" s="386"/>
      <c r="I105" s="385"/>
      <c r="J105" s="386"/>
      <c r="K105" s="385"/>
      <c r="L105" s="377"/>
    </row>
    <row r="106" spans="1:12" x14ac:dyDescent="0.2">
      <c r="A106" s="372" t="s">
        <v>804</v>
      </c>
      <c r="B106" s="373">
        <f>2241545.63+1232128.27+2293023.76</f>
        <v>5766697.6600000001</v>
      </c>
      <c r="C106" s="373">
        <f>842226+1801663+1300000</f>
        <v>3943889</v>
      </c>
      <c r="D106" s="376">
        <v>1745361</v>
      </c>
      <c r="E106" s="385"/>
      <c r="F106" s="385"/>
      <c r="G106" s="386"/>
      <c r="H106" s="386"/>
      <c r="I106" s="385"/>
      <c r="J106" s="385"/>
      <c r="K106" s="385"/>
      <c r="L106" s="377"/>
    </row>
    <row r="107" spans="1:12" x14ac:dyDescent="0.2">
      <c r="A107" s="372" t="s">
        <v>805</v>
      </c>
      <c r="B107" s="373">
        <f>3447842.43+166491.47</f>
        <v>3614333.9000000004</v>
      </c>
      <c r="C107" s="373">
        <f>2871535+62525</f>
        <v>2934060</v>
      </c>
      <c r="D107" s="376">
        <v>3739260</v>
      </c>
      <c r="E107" s="385"/>
      <c r="F107" s="385"/>
      <c r="G107" s="386"/>
      <c r="H107" s="386"/>
      <c r="I107" s="385"/>
      <c r="J107" s="385"/>
      <c r="K107" s="385"/>
      <c r="L107" s="377"/>
    </row>
    <row r="108" spans="1:12" x14ac:dyDescent="0.2">
      <c r="A108" s="372" t="s">
        <v>806</v>
      </c>
      <c r="B108" s="373">
        <f>26656621.84+11744+9928866.37</f>
        <v>36597232.210000001</v>
      </c>
      <c r="C108" s="373">
        <f>3054622+31500+6541971</f>
        <v>9628093</v>
      </c>
      <c r="D108" s="376">
        <v>30910923</v>
      </c>
      <c r="E108" s="385"/>
      <c r="F108" s="385"/>
      <c r="G108" s="386"/>
      <c r="H108" s="386"/>
      <c r="I108" s="385"/>
      <c r="J108" s="385"/>
      <c r="K108" s="385"/>
      <c r="L108" s="377"/>
    </row>
    <row r="109" spans="1:12" x14ac:dyDescent="0.2">
      <c r="A109" s="372" t="s">
        <v>807</v>
      </c>
      <c r="B109" s="373"/>
      <c r="C109" s="373">
        <f>50000</f>
        <v>50000</v>
      </c>
      <c r="D109" s="376"/>
      <c r="E109" s="369"/>
      <c r="F109" s="369"/>
      <c r="G109" s="369"/>
      <c r="H109" s="369"/>
      <c r="I109" s="369"/>
      <c r="J109" s="369"/>
      <c r="K109" s="369"/>
      <c r="L109" s="377"/>
    </row>
    <row r="110" spans="1:12" x14ac:dyDescent="0.2">
      <c r="A110" s="372" t="s">
        <v>808</v>
      </c>
      <c r="B110" s="373">
        <v>548507.28</v>
      </c>
      <c r="C110" s="373">
        <v>98426</v>
      </c>
      <c r="D110" s="376">
        <v>98426</v>
      </c>
      <c r="E110" s="385"/>
      <c r="F110" s="385"/>
      <c r="G110" s="386"/>
      <c r="H110" s="386"/>
      <c r="I110" s="385"/>
      <c r="J110" s="385"/>
      <c r="K110" s="385"/>
      <c r="L110" s="377"/>
    </row>
    <row r="111" spans="1:12" x14ac:dyDescent="0.2">
      <c r="A111" s="372" t="s">
        <v>368</v>
      </c>
      <c r="B111" s="373">
        <v>66642.94</v>
      </c>
      <c r="C111" s="373">
        <v>146801</v>
      </c>
      <c r="D111" s="376">
        <v>87196</v>
      </c>
    </row>
    <row r="112" spans="1:12" x14ac:dyDescent="0.2">
      <c r="A112" s="372" t="s">
        <v>369</v>
      </c>
      <c r="B112" s="373">
        <f>25738914.15+938294.94</f>
        <v>26677209.09</v>
      </c>
      <c r="C112" s="373">
        <v>12301490</v>
      </c>
      <c r="D112" s="376">
        <v>27627503</v>
      </c>
    </row>
    <row r="113" spans="1:6" x14ac:dyDescent="0.2">
      <c r="A113" s="372" t="s">
        <v>809</v>
      </c>
      <c r="B113" s="373"/>
      <c r="C113" s="373">
        <f>454766+132427</f>
        <v>587193</v>
      </c>
      <c r="D113" s="376">
        <v>43704</v>
      </c>
      <c r="F113" s="385"/>
    </row>
    <row r="114" spans="1:6" x14ac:dyDescent="0.2">
      <c r="A114" s="372" t="s">
        <v>810</v>
      </c>
      <c r="B114" s="373"/>
      <c r="C114" s="373"/>
      <c r="D114" s="376">
        <v>8904</v>
      </c>
      <c r="F114" s="385"/>
    </row>
    <row r="115" spans="1:6" s="306" customFormat="1" ht="22.5" customHeight="1" x14ac:dyDescent="0.2">
      <c r="A115" s="380" t="s">
        <v>811</v>
      </c>
      <c r="B115" s="381">
        <f>SUM(B80:B114)</f>
        <v>314342355.67999989</v>
      </c>
      <c r="C115" s="381">
        <f>SUM(C80:C114)</f>
        <v>221856702</v>
      </c>
      <c r="D115" s="382">
        <f>SUM(D80:D114)</f>
        <v>254888309</v>
      </c>
    </row>
    <row r="116" spans="1:6" x14ac:dyDescent="0.2">
      <c r="A116" s="389" t="s">
        <v>431</v>
      </c>
    </row>
    <row r="117" spans="1:6" x14ac:dyDescent="0.2">
      <c r="A117" s="390" t="s">
        <v>432</v>
      </c>
    </row>
  </sheetData>
  <pageMargins left="0.46875" right="0.10416666666666667" top="0.74803149606299213" bottom="0.74803149606299213" header="0.31496062992125984" footer="0.31496062992125984"/>
  <pageSetup paperSize="9" orientation="portrait" r:id="rId1"/>
  <headerFooter>
    <oddHeader>&amp;C&amp;"Arial,Negrita"&amp;18PROYECTO DE PRESUPUESTO 2021</oddHeader>
    <oddFooter>&amp;L&amp;"Arial,Negrita"&amp;8PROYECTO DE PRESUPUESTO PARA EL AÑO FISCAL 2021
INFORMACIÓN PARA LA COMISIÓN DE PRESUPUESTO Y CUENTA GENERAL DE LA REPÚBLICA DEL CONGRESO DE LA REPÚBLICA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12">
    <tabColor theme="9" tint="-0.249977111117893"/>
  </sheetPr>
  <dimension ref="A1:N51"/>
  <sheetViews>
    <sheetView view="pageLayout" topLeftCell="A12" zoomScale="200" zoomScaleNormal="100" zoomScaleSheetLayoutView="70" zoomScalePageLayoutView="200" workbookViewId="0">
      <selection activeCell="A16" sqref="A16"/>
    </sheetView>
  </sheetViews>
  <sheetFormatPr baseColWidth="10" defaultColWidth="11.28515625" defaultRowHeight="11.25" x14ac:dyDescent="0.2"/>
  <cols>
    <col min="1" max="1" width="30.7109375" style="111" customWidth="1"/>
    <col min="2" max="14" width="8.7109375" style="111" customWidth="1"/>
    <col min="15" max="16384" width="11.28515625" style="111"/>
  </cols>
  <sheetData>
    <row r="1" spans="1:14" s="109" customFormat="1" ht="14.25" customHeight="1" x14ac:dyDescent="0.2">
      <c r="A1" s="172" t="s">
        <v>436</v>
      </c>
      <c r="B1" s="173"/>
      <c r="C1" s="173"/>
      <c r="D1" s="173"/>
      <c r="E1" s="173"/>
      <c r="F1" s="173"/>
      <c r="G1" s="173"/>
      <c r="H1" s="173"/>
      <c r="I1" s="173"/>
      <c r="J1" s="173"/>
      <c r="K1" s="173"/>
      <c r="L1" s="173"/>
      <c r="M1" s="173"/>
      <c r="N1" s="173"/>
    </row>
    <row r="2" spans="1:14" ht="12" thickBot="1" x14ac:dyDescent="0.25">
      <c r="A2" s="108" t="s">
        <v>182</v>
      </c>
      <c r="B2" s="108"/>
      <c r="C2" s="108"/>
      <c r="D2" s="108"/>
      <c r="E2" s="108"/>
      <c r="F2" s="108"/>
      <c r="G2" s="108"/>
      <c r="H2" s="108"/>
      <c r="I2" s="108"/>
      <c r="J2" s="108"/>
      <c r="K2" s="108"/>
      <c r="L2" s="108"/>
      <c r="M2" s="108"/>
      <c r="N2" s="108"/>
    </row>
    <row r="3" spans="1:14" s="109" customFormat="1" ht="12.75" customHeight="1" thickBot="1" x14ac:dyDescent="0.25">
      <c r="A3" s="594" t="s">
        <v>224</v>
      </c>
      <c r="B3" s="592" t="s">
        <v>257</v>
      </c>
      <c r="C3" s="593"/>
      <c r="D3" s="593"/>
      <c r="E3" s="593"/>
      <c r="F3" s="589" t="s">
        <v>258</v>
      </c>
      <c r="G3" s="590"/>
      <c r="H3" s="591"/>
      <c r="I3" s="589" t="s">
        <v>256</v>
      </c>
      <c r="J3" s="590"/>
      <c r="K3" s="590"/>
      <c r="L3" s="590"/>
      <c r="M3" s="590"/>
      <c r="N3" s="591"/>
    </row>
    <row r="4" spans="1:14" s="115" customFormat="1" ht="84.95" customHeight="1" thickBot="1" x14ac:dyDescent="0.25">
      <c r="A4" s="595"/>
      <c r="B4" s="174">
        <v>2019</v>
      </c>
      <c r="C4" s="175">
        <v>2020</v>
      </c>
      <c r="D4" s="175" t="s">
        <v>437</v>
      </c>
      <c r="E4" s="177" t="s">
        <v>438</v>
      </c>
      <c r="F4" s="174">
        <v>2019</v>
      </c>
      <c r="G4" s="175">
        <v>2020</v>
      </c>
      <c r="H4" s="175" t="s">
        <v>437</v>
      </c>
      <c r="I4" s="174">
        <v>2019</v>
      </c>
      <c r="J4" s="175" t="s">
        <v>429</v>
      </c>
      <c r="K4" s="175" t="s">
        <v>437</v>
      </c>
      <c r="L4" s="176" t="s">
        <v>439</v>
      </c>
      <c r="M4" s="176" t="s">
        <v>438</v>
      </c>
      <c r="N4" s="177" t="s">
        <v>440</v>
      </c>
    </row>
    <row r="5" spans="1:14" x14ac:dyDescent="0.2">
      <c r="A5" s="178"/>
      <c r="B5" s="179"/>
      <c r="C5" s="180"/>
      <c r="D5" s="180"/>
      <c r="E5" s="181"/>
      <c r="F5" s="179"/>
      <c r="G5" s="180"/>
      <c r="H5" s="182"/>
      <c r="I5" s="179"/>
      <c r="J5" s="180"/>
      <c r="K5" s="182"/>
      <c r="L5" s="181"/>
      <c r="M5" s="181"/>
      <c r="N5" s="182"/>
    </row>
    <row r="6" spans="1:14" ht="22.5" x14ac:dyDescent="0.2">
      <c r="A6" s="183" t="s">
        <v>255</v>
      </c>
      <c r="B6" s="184"/>
      <c r="C6" s="185"/>
      <c r="D6" s="185"/>
      <c r="E6" s="186"/>
      <c r="F6" s="184"/>
      <c r="G6" s="185"/>
      <c r="H6" s="187"/>
      <c r="I6" s="184"/>
      <c r="J6" s="185"/>
      <c r="K6" s="187"/>
      <c r="L6" s="186"/>
      <c r="M6" s="186"/>
      <c r="N6" s="187"/>
    </row>
    <row r="7" spans="1:14" x14ac:dyDescent="0.2">
      <c r="A7" s="188" t="s">
        <v>225</v>
      </c>
      <c r="B7" s="189"/>
      <c r="C7" s="190"/>
      <c r="D7" s="190"/>
      <c r="E7" s="191"/>
      <c r="F7" s="189"/>
      <c r="G7" s="190"/>
      <c r="H7" s="192"/>
      <c r="I7" s="189"/>
      <c r="J7" s="190"/>
      <c r="K7" s="192"/>
      <c r="L7" s="191"/>
      <c r="M7" s="191"/>
      <c r="N7" s="192"/>
    </row>
    <row r="8" spans="1:14" s="109" customFormat="1" x14ac:dyDescent="0.2">
      <c r="A8" s="193"/>
      <c r="B8" s="189"/>
      <c r="C8" s="190"/>
      <c r="D8" s="190"/>
      <c r="E8" s="191"/>
      <c r="F8" s="189"/>
      <c r="G8" s="190"/>
      <c r="H8" s="192"/>
      <c r="I8" s="189"/>
      <c r="J8" s="190"/>
      <c r="K8" s="192"/>
      <c r="L8" s="191"/>
      <c r="M8" s="191"/>
      <c r="N8" s="192"/>
    </row>
    <row r="9" spans="1:14" x14ac:dyDescent="0.2">
      <c r="A9" s="183" t="s">
        <v>230</v>
      </c>
      <c r="B9" s="189"/>
      <c r="C9" s="190"/>
      <c r="D9" s="190"/>
      <c r="E9" s="191"/>
      <c r="F9" s="189"/>
      <c r="G9" s="190"/>
      <c r="H9" s="192"/>
      <c r="I9" s="189"/>
      <c r="J9" s="190"/>
      <c r="K9" s="192"/>
      <c r="L9" s="191"/>
      <c r="M9" s="191"/>
      <c r="N9" s="192"/>
    </row>
    <row r="10" spans="1:14" x14ac:dyDescent="0.2">
      <c r="A10" s="194" t="s">
        <v>226</v>
      </c>
      <c r="B10" s="189">
        <v>38675</v>
      </c>
      <c r="C10" s="190">
        <v>584071</v>
      </c>
      <c r="D10" s="190"/>
      <c r="E10" s="191"/>
      <c r="F10" s="189">
        <v>36640</v>
      </c>
      <c r="G10" s="190">
        <v>500271</v>
      </c>
      <c r="H10" s="192"/>
      <c r="I10" s="189"/>
      <c r="J10" s="190"/>
      <c r="K10" s="192"/>
      <c r="L10" s="191"/>
      <c r="M10" s="191"/>
      <c r="N10" s="192"/>
    </row>
    <row r="11" spans="1:14" x14ac:dyDescent="0.2">
      <c r="A11" s="194" t="s">
        <v>227</v>
      </c>
      <c r="B11" s="189">
        <v>4994651</v>
      </c>
      <c r="C11" s="190">
        <v>333073</v>
      </c>
      <c r="D11" s="190"/>
      <c r="E11" s="191"/>
      <c r="F11" s="189">
        <v>2958587</v>
      </c>
      <c r="G11" s="190">
        <v>206570</v>
      </c>
      <c r="H11" s="192"/>
      <c r="I11" s="189"/>
      <c r="J11" s="190"/>
      <c r="K11" s="192"/>
      <c r="L11" s="191"/>
      <c r="M11" s="191"/>
      <c r="N11" s="192"/>
    </row>
    <row r="12" spans="1:14" x14ac:dyDescent="0.2">
      <c r="A12" s="194" t="s">
        <v>228</v>
      </c>
      <c r="B12" s="189"/>
      <c r="C12" s="190"/>
      <c r="D12" s="190"/>
      <c r="E12" s="191"/>
      <c r="F12" s="189"/>
      <c r="G12" s="190"/>
      <c r="H12" s="192"/>
      <c r="I12" s="189"/>
      <c r="J12" s="190"/>
      <c r="K12" s="192"/>
      <c r="L12" s="191"/>
      <c r="M12" s="191"/>
      <c r="N12" s="192"/>
    </row>
    <row r="13" spans="1:14" x14ac:dyDescent="0.2">
      <c r="A13" s="194" t="s">
        <v>229</v>
      </c>
      <c r="B13" s="189"/>
      <c r="C13" s="190"/>
      <c r="D13" s="190"/>
      <c r="E13" s="191"/>
      <c r="F13" s="189"/>
      <c r="G13" s="190"/>
      <c r="H13" s="192"/>
      <c r="I13" s="189"/>
      <c r="J13" s="190"/>
      <c r="K13" s="192"/>
      <c r="L13" s="191"/>
      <c r="M13" s="191"/>
      <c r="N13" s="192"/>
    </row>
    <row r="14" spans="1:14" x14ac:dyDescent="0.2">
      <c r="A14" s="194"/>
      <c r="B14" s="184"/>
      <c r="C14" s="185"/>
      <c r="D14" s="185"/>
      <c r="E14" s="186"/>
      <c r="F14" s="184"/>
      <c r="G14" s="185"/>
      <c r="H14" s="187"/>
      <c r="I14" s="184"/>
      <c r="J14" s="185"/>
      <c r="K14" s="187"/>
      <c r="L14" s="186"/>
      <c r="M14" s="186"/>
      <c r="N14" s="187"/>
    </row>
    <row r="15" spans="1:14" x14ac:dyDescent="0.2">
      <c r="A15" s="183" t="s">
        <v>249</v>
      </c>
      <c r="B15" s="189"/>
      <c r="C15" s="190"/>
      <c r="D15" s="190"/>
      <c r="E15" s="191"/>
      <c r="F15" s="189"/>
      <c r="G15" s="190"/>
      <c r="H15" s="192"/>
      <c r="I15" s="189"/>
      <c r="J15" s="190"/>
      <c r="K15" s="192"/>
      <c r="L15" s="191"/>
      <c r="M15" s="191"/>
      <c r="N15" s="192"/>
    </row>
    <row r="16" spans="1:14" x14ac:dyDescent="0.2">
      <c r="A16" s="194" t="s">
        <v>231</v>
      </c>
      <c r="B16" s="189">
        <v>9240951</v>
      </c>
      <c r="C16" s="190">
        <v>898433</v>
      </c>
      <c r="D16" s="190"/>
      <c r="E16" s="191"/>
      <c r="F16" s="189">
        <v>5086458</v>
      </c>
      <c r="G16" s="190">
        <v>692083</v>
      </c>
      <c r="H16" s="192"/>
      <c r="I16" s="189"/>
      <c r="J16" s="190"/>
      <c r="K16" s="192"/>
      <c r="L16" s="191"/>
      <c r="M16" s="191"/>
      <c r="N16" s="192"/>
    </row>
    <row r="17" spans="1:14" x14ac:dyDescent="0.2">
      <c r="A17" s="194" t="s">
        <v>232</v>
      </c>
      <c r="B17" s="189"/>
      <c r="C17" s="190"/>
      <c r="D17" s="190"/>
      <c r="E17" s="191"/>
      <c r="F17" s="189"/>
      <c r="G17" s="190"/>
      <c r="H17" s="192"/>
      <c r="I17" s="189"/>
      <c r="J17" s="190"/>
      <c r="K17" s="192"/>
      <c r="L17" s="191"/>
      <c r="M17" s="191"/>
      <c r="N17" s="192"/>
    </row>
    <row r="18" spans="1:14" x14ac:dyDescent="0.2">
      <c r="A18" s="194" t="s">
        <v>233</v>
      </c>
      <c r="B18" s="189"/>
      <c r="C18" s="190"/>
      <c r="D18" s="190"/>
      <c r="E18" s="191"/>
      <c r="F18" s="189"/>
      <c r="G18" s="190"/>
      <c r="H18" s="192"/>
      <c r="I18" s="189"/>
      <c r="J18" s="190"/>
      <c r="K18" s="192"/>
      <c r="L18" s="191"/>
      <c r="M18" s="191"/>
      <c r="N18" s="192"/>
    </row>
    <row r="19" spans="1:14" x14ac:dyDescent="0.2">
      <c r="A19" s="194" t="s">
        <v>234</v>
      </c>
      <c r="B19" s="189"/>
      <c r="C19" s="190"/>
      <c r="D19" s="190"/>
      <c r="E19" s="191"/>
      <c r="F19" s="189"/>
      <c r="G19" s="190"/>
      <c r="H19" s="192"/>
      <c r="I19" s="189"/>
      <c r="J19" s="190"/>
      <c r="K19" s="192"/>
      <c r="L19" s="191"/>
      <c r="M19" s="191"/>
      <c r="N19" s="192"/>
    </row>
    <row r="20" spans="1:14" ht="22.5" x14ac:dyDescent="0.2">
      <c r="A20" s="194" t="s">
        <v>235</v>
      </c>
      <c r="B20" s="189"/>
      <c r="C20" s="190"/>
      <c r="D20" s="190"/>
      <c r="E20" s="191"/>
      <c r="F20" s="189"/>
      <c r="G20" s="190"/>
      <c r="H20" s="192"/>
      <c r="I20" s="189"/>
      <c r="J20" s="190"/>
      <c r="K20" s="192"/>
      <c r="L20" s="191"/>
      <c r="M20" s="191"/>
      <c r="N20" s="192"/>
    </row>
    <row r="21" spans="1:14" x14ac:dyDescent="0.2">
      <c r="A21" s="195"/>
      <c r="B21" s="189"/>
      <c r="C21" s="190"/>
      <c r="D21" s="190"/>
      <c r="E21" s="191"/>
      <c r="F21" s="189"/>
      <c r="G21" s="190"/>
      <c r="H21" s="192"/>
      <c r="I21" s="189"/>
      <c r="J21" s="190"/>
      <c r="K21" s="192"/>
      <c r="L21" s="191"/>
      <c r="M21" s="191"/>
      <c r="N21" s="192"/>
    </row>
    <row r="22" spans="1:14" x14ac:dyDescent="0.2">
      <c r="A22" s="196" t="s">
        <v>250</v>
      </c>
      <c r="B22" s="189"/>
      <c r="C22" s="190"/>
      <c r="D22" s="190"/>
      <c r="E22" s="191"/>
      <c r="F22" s="189"/>
      <c r="G22" s="190"/>
      <c r="H22" s="192"/>
      <c r="I22" s="189"/>
      <c r="J22" s="190"/>
      <c r="K22" s="192"/>
      <c r="L22" s="191"/>
      <c r="M22" s="191"/>
      <c r="N22" s="192"/>
    </row>
    <row r="23" spans="1:14" x14ac:dyDescent="0.2">
      <c r="A23" s="194" t="s">
        <v>236</v>
      </c>
      <c r="B23" s="189"/>
      <c r="C23" s="190"/>
      <c r="D23" s="190"/>
      <c r="E23" s="191"/>
      <c r="F23" s="189"/>
      <c r="G23" s="190"/>
      <c r="H23" s="192"/>
      <c r="I23" s="189"/>
      <c r="J23" s="190"/>
      <c r="K23" s="192"/>
      <c r="L23" s="191"/>
      <c r="M23" s="191"/>
      <c r="N23" s="192"/>
    </row>
    <row r="24" spans="1:14" x14ac:dyDescent="0.2">
      <c r="A24" s="194" t="s">
        <v>237</v>
      </c>
      <c r="B24" s="189"/>
      <c r="C24" s="190"/>
      <c r="D24" s="190"/>
      <c r="E24" s="191"/>
      <c r="F24" s="189"/>
      <c r="G24" s="190"/>
      <c r="H24" s="192"/>
      <c r="I24" s="189"/>
      <c r="J24" s="190"/>
      <c r="K24" s="192"/>
      <c r="L24" s="191"/>
      <c r="M24" s="191"/>
      <c r="N24" s="192"/>
    </row>
    <row r="25" spans="1:14" x14ac:dyDescent="0.2">
      <c r="A25" s="194" t="s">
        <v>238</v>
      </c>
      <c r="B25" s="189"/>
      <c r="C25" s="190"/>
      <c r="D25" s="190"/>
      <c r="E25" s="191"/>
      <c r="F25" s="189"/>
      <c r="G25" s="190"/>
      <c r="H25" s="192"/>
      <c r="I25" s="189"/>
      <c r="J25" s="190"/>
      <c r="K25" s="192"/>
      <c r="L25" s="191"/>
      <c r="M25" s="191"/>
      <c r="N25" s="192"/>
    </row>
    <row r="26" spans="1:14" x14ac:dyDescent="0.2">
      <c r="A26" s="194"/>
      <c r="B26" s="189"/>
      <c r="C26" s="190"/>
      <c r="D26" s="190"/>
      <c r="E26" s="191"/>
      <c r="F26" s="189"/>
      <c r="G26" s="190"/>
      <c r="H26" s="192"/>
      <c r="I26" s="189"/>
      <c r="J26" s="190"/>
      <c r="K26" s="192"/>
      <c r="L26" s="191"/>
      <c r="M26" s="191"/>
      <c r="N26" s="192"/>
    </row>
    <row r="27" spans="1:14" x14ac:dyDescent="0.2">
      <c r="A27" s="196" t="s">
        <v>251</v>
      </c>
      <c r="B27" s="189"/>
      <c r="C27" s="190"/>
      <c r="D27" s="190"/>
      <c r="E27" s="191"/>
      <c r="F27" s="189"/>
      <c r="G27" s="190"/>
      <c r="H27" s="192"/>
      <c r="I27" s="189"/>
      <c r="J27" s="190"/>
      <c r="K27" s="192"/>
      <c r="L27" s="191"/>
      <c r="M27" s="191"/>
      <c r="N27" s="192"/>
    </row>
    <row r="28" spans="1:14" x14ac:dyDescent="0.2">
      <c r="A28" s="194" t="s">
        <v>239</v>
      </c>
      <c r="B28" s="189"/>
      <c r="C28" s="190"/>
      <c r="D28" s="190"/>
      <c r="E28" s="191"/>
      <c r="F28" s="189"/>
      <c r="G28" s="190"/>
      <c r="H28" s="192"/>
      <c r="I28" s="189"/>
      <c r="J28" s="190"/>
      <c r="K28" s="192"/>
      <c r="L28" s="191"/>
      <c r="M28" s="191"/>
      <c r="N28" s="192"/>
    </row>
    <row r="29" spans="1:14" x14ac:dyDescent="0.2">
      <c r="A29" s="194" t="s">
        <v>237</v>
      </c>
      <c r="B29" s="189"/>
      <c r="C29" s="190"/>
      <c r="D29" s="190"/>
      <c r="E29" s="191"/>
      <c r="F29" s="189"/>
      <c r="G29" s="190"/>
      <c r="H29" s="192"/>
      <c r="I29" s="189"/>
      <c r="J29" s="190"/>
      <c r="K29" s="192"/>
      <c r="L29" s="191"/>
      <c r="M29" s="191"/>
      <c r="N29" s="192"/>
    </row>
    <row r="30" spans="1:14" x14ac:dyDescent="0.2">
      <c r="A30" s="194"/>
      <c r="B30" s="189"/>
      <c r="C30" s="190"/>
      <c r="D30" s="190"/>
      <c r="E30" s="191"/>
      <c r="F30" s="189"/>
      <c r="G30" s="190"/>
      <c r="H30" s="192"/>
      <c r="I30" s="189"/>
      <c r="J30" s="190"/>
      <c r="K30" s="192"/>
      <c r="L30" s="191"/>
      <c r="M30" s="191"/>
      <c r="N30" s="192"/>
    </row>
    <row r="31" spans="1:14" x14ac:dyDescent="0.2">
      <c r="A31" s="196" t="s">
        <v>252</v>
      </c>
      <c r="B31" s="189"/>
      <c r="C31" s="190"/>
      <c r="D31" s="190"/>
      <c r="E31" s="191"/>
      <c r="F31" s="189"/>
      <c r="G31" s="190"/>
      <c r="H31" s="192"/>
      <c r="I31" s="189"/>
      <c r="J31" s="190"/>
      <c r="K31" s="192"/>
      <c r="L31" s="191"/>
      <c r="M31" s="191"/>
      <c r="N31" s="192"/>
    </row>
    <row r="32" spans="1:14" x14ac:dyDescent="0.2">
      <c r="A32" s="194" t="s">
        <v>240</v>
      </c>
      <c r="B32" s="189"/>
      <c r="C32" s="190"/>
      <c r="D32" s="190"/>
      <c r="E32" s="191"/>
      <c r="F32" s="189"/>
      <c r="G32" s="190"/>
      <c r="H32" s="192"/>
      <c r="I32" s="189"/>
      <c r="J32" s="190"/>
      <c r="K32" s="192"/>
      <c r="L32" s="191"/>
      <c r="M32" s="191"/>
      <c r="N32" s="192"/>
    </row>
    <row r="33" spans="1:14" x14ac:dyDescent="0.2">
      <c r="A33" s="194" t="s">
        <v>238</v>
      </c>
      <c r="B33" s="189"/>
      <c r="C33" s="190"/>
      <c r="D33" s="190"/>
      <c r="E33" s="191"/>
      <c r="F33" s="189"/>
      <c r="G33" s="190"/>
      <c r="H33" s="192"/>
      <c r="I33" s="189"/>
      <c r="J33" s="190"/>
      <c r="K33" s="192"/>
      <c r="L33" s="191"/>
      <c r="M33" s="191"/>
      <c r="N33" s="192"/>
    </row>
    <row r="34" spans="1:14" x14ac:dyDescent="0.2">
      <c r="A34" s="194" t="s">
        <v>241</v>
      </c>
      <c r="B34" s="189"/>
      <c r="C34" s="190"/>
      <c r="D34" s="190"/>
      <c r="E34" s="191"/>
      <c r="F34" s="189"/>
      <c r="G34" s="190"/>
      <c r="H34" s="192"/>
      <c r="I34" s="189"/>
      <c r="J34" s="190"/>
      <c r="K34" s="192"/>
      <c r="L34" s="191"/>
      <c r="M34" s="191"/>
      <c r="N34" s="192"/>
    </row>
    <row r="35" spans="1:14" x14ac:dyDescent="0.2">
      <c r="A35" s="194" t="s">
        <v>242</v>
      </c>
      <c r="B35" s="189"/>
      <c r="C35" s="190"/>
      <c r="D35" s="190"/>
      <c r="E35" s="191"/>
      <c r="F35" s="189"/>
      <c r="G35" s="190"/>
      <c r="H35" s="192"/>
      <c r="I35" s="189"/>
      <c r="J35" s="190"/>
      <c r="K35" s="192"/>
      <c r="L35" s="191"/>
      <c r="M35" s="191"/>
      <c r="N35" s="192"/>
    </row>
    <row r="36" spans="1:14" x14ac:dyDescent="0.2">
      <c r="A36" s="194"/>
      <c r="B36" s="189"/>
      <c r="C36" s="190"/>
      <c r="D36" s="190"/>
      <c r="E36" s="191"/>
      <c r="F36" s="189"/>
      <c r="G36" s="190"/>
      <c r="H36" s="192"/>
      <c r="I36" s="189"/>
      <c r="J36" s="190"/>
      <c r="K36" s="192"/>
      <c r="L36" s="191"/>
      <c r="M36" s="191"/>
      <c r="N36" s="192"/>
    </row>
    <row r="37" spans="1:14" x14ac:dyDescent="0.2">
      <c r="A37" s="196" t="s">
        <v>253</v>
      </c>
      <c r="B37" s="189"/>
      <c r="C37" s="190"/>
      <c r="D37" s="190"/>
      <c r="E37" s="191"/>
      <c r="F37" s="189"/>
      <c r="G37" s="190"/>
      <c r="H37" s="192"/>
      <c r="I37" s="189"/>
      <c r="J37" s="190"/>
      <c r="K37" s="192"/>
      <c r="L37" s="191"/>
      <c r="M37" s="191"/>
      <c r="N37" s="192"/>
    </row>
    <row r="38" spans="1:14" x14ac:dyDescent="0.2">
      <c r="A38" s="194" t="s">
        <v>243</v>
      </c>
      <c r="B38" s="189"/>
      <c r="C38" s="190"/>
      <c r="D38" s="190"/>
      <c r="E38" s="191"/>
      <c r="F38" s="189"/>
      <c r="G38" s="190"/>
      <c r="H38" s="192"/>
      <c r="I38" s="189"/>
      <c r="J38" s="190"/>
      <c r="K38" s="192"/>
      <c r="L38" s="191"/>
      <c r="M38" s="191"/>
      <c r="N38" s="192"/>
    </row>
    <row r="39" spans="1:14" x14ac:dyDescent="0.2">
      <c r="A39" s="194" t="s">
        <v>244</v>
      </c>
      <c r="B39" s="189"/>
      <c r="C39" s="190"/>
      <c r="D39" s="190"/>
      <c r="E39" s="191"/>
      <c r="F39" s="189"/>
      <c r="G39" s="190"/>
      <c r="H39" s="192"/>
      <c r="I39" s="189"/>
      <c r="J39" s="190"/>
      <c r="K39" s="192"/>
      <c r="L39" s="191"/>
      <c r="M39" s="191"/>
      <c r="N39" s="192"/>
    </row>
    <row r="40" spans="1:14" ht="22.5" x14ac:dyDescent="0.2">
      <c r="A40" s="194" t="s">
        <v>245</v>
      </c>
      <c r="B40" s="189"/>
      <c r="C40" s="190"/>
      <c r="D40" s="190"/>
      <c r="E40" s="191"/>
      <c r="F40" s="189"/>
      <c r="G40" s="190"/>
      <c r="H40" s="192"/>
      <c r="I40" s="189"/>
      <c r="J40" s="190"/>
      <c r="K40" s="192"/>
      <c r="L40" s="191"/>
      <c r="M40" s="191"/>
      <c r="N40" s="192"/>
    </row>
    <row r="41" spans="1:14" ht="22.5" x14ac:dyDescent="0.2">
      <c r="A41" s="194" t="s">
        <v>246</v>
      </c>
      <c r="B41" s="189"/>
      <c r="C41" s="190"/>
      <c r="D41" s="190"/>
      <c r="E41" s="191"/>
      <c r="F41" s="189"/>
      <c r="G41" s="190"/>
      <c r="H41" s="192"/>
      <c r="I41" s="189"/>
      <c r="J41" s="190"/>
      <c r="K41" s="192"/>
      <c r="L41" s="191"/>
      <c r="M41" s="191"/>
      <c r="N41" s="192"/>
    </row>
    <row r="42" spans="1:14" x14ac:dyDescent="0.2">
      <c r="A42" s="194"/>
      <c r="B42" s="189"/>
      <c r="C42" s="190"/>
      <c r="D42" s="190"/>
      <c r="E42" s="191"/>
      <c r="F42" s="189"/>
      <c r="G42" s="190"/>
      <c r="H42" s="192"/>
      <c r="I42" s="189"/>
      <c r="J42" s="190"/>
      <c r="K42" s="192"/>
      <c r="L42" s="191"/>
      <c r="M42" s="191"/>
      <c r="N42" s="192"/>
    </row>
    <row r="43" spans="1:14" x14ac:dyDescent="0.2">
      <c r="A43" s="196" t="s">
        <v>254</v>
      </c>
      <c r="B43" s="189"/>
      <c r="C43" s="190"/>
      <c r="D43" s="190"/>
      <c r="E43" s="191"/>
      <c r="F43" s="189"/>
      <c r="G43" s="190"/>
      <c r="H43" s="192"/>
      <c r="I43" s="189"/>
      <c r="J43" s="190"/>
      <c r="K43" s="192"/>
      <c r="L43" s="191"/>
      <c r="M43" s="191"/>
      <c r="N43" s="192"/>
    </row>
    <row r="44" spans="1:14" x14ac:dyDescent="0.2">
      <c r="A44" s="194" t="s">
        <v>247</v>
      </c>
      <c r="B44" s="189"/>
      <c r="C44" s="190"/>
      <c r="D44" s="190"/>
      <c r="E44" s="191"/>
      <c r="F44" s="189"/>
      <c r="G44" s="190"/>
      <c r="H44" s="192"/>
      <c r="I44" s="189"/>
      <c r="J44" s="190"/>
      <c r="K44" s="192"/>
      <c r="L44" s="191"/>
      <c r="M44" s="191"/>
      <c r="N44" s="192"/>
    </row>
    <row r="45" spans="1:14" s="109" customFormat="1" ht="22.5" x14ac:dyDescent="0.2">
      <c r="A45" s="194" t="s">
        <v>248</v>
      </c>
      <c r="B45" s="189"/>
      <c r="C45" s="190"/>
      <c r="D45" s="190"/>
      <c r="E45" s="191"/>
      <c r="F45" s="189"/>
      <c r="G45" s="190"/>
      <c r="H45" s="192"/>
      <c r="I45" s="189"/>
      <c r="J45" s="190"/>
      <c r="K45" s="192"/>
      <c r="L45" s="191"/>
      <c r="M45" s="191"/>
      <c r="N45" s="192"/>
    </row>
    <row r="46" spans="1:14" ht="12" thickBot="1" x14ac:dyDescent="0.25">
      <c r="A46" s="197"/>
      <c r="B46" s="189"/>
      <c r="C46" s="190"/>
      <c r="D46" s="190"/>
      <c r="E46" s="191"/>
      <c r="F46" s="189"/>
      <c r="G46" s="190"/>
      <c r="H46" s="192"/>
      <c r="I46" s="189"/>
      <c r="J46" s="190"/>
      <c r="K46" s="192"/>
      <c r="L46" s="191"/>
      <c r="M46" s="191"/>
      <c r="N46" s="192"/>
    </row>
    <row r="47" spans="1:14" x14ac:dyDescent="0.2">
      <c r="A47" s="198"/>
      <c r="B47" s="210"/>
      <c r="C47" s="211"/>
      <c r="D47" s="217"/>
      <c r="E47" s="214"/>
      <c r="F47" s="210"/>
      <c r="G47" s="213"/>
      <c r="H47" s="214"/>
      <c r="I47" s="210"/>
      <c r="J47" s="211"/>
      <c r="K47" s="212"/>
      <c r="L47" s="213"/>
      <c r="M47" s="213"/>
      <c r="N47" s="214"/>
    </row>
    <row r="48" spans="1:14" ht="12" thickBot="1" x14ac:dyDescent="0.25">
      <c r="A48" s="199" t="s">
        <v>0</v>
      </c>
      <c r="B48" s="200"/>
      <c r="C48" s="201"/>
      <c r="D48" s="216"/>
      <c r="E48" s="203"/>
      <c r="F48" s="200"/>
      <c r="G48" s="202"/>
      <c r="H48" s="203"/>
      <c r="I48" s="200"/>
      <c r="J48" s="201"/>
      <c r="K48" s="209"/>
      <c r="L48" s="202"/>
      <c r="M48" s="202"/>
      <c r="N48" s="203"/>
    </row>
    <row r="49" spans="1:14" ht="12.75" thickTop="1" thickBot="1" x14ac:dyDescent="0.25">
      <c r="A49" s="204" t="s">
        <v>19</v>
      </c>
      <c r="B49" s="205"/>
      <c r="C49" s="206"/>
      <c r="D49" s="218"/>
      <c r="E49" s="208"/>
      <c r="F49" s="205"/>
      <c r="G49" s="207"/>
      <c r="H49" s="208"/>
      <c r="I49" s="205"/>
      <c r="J49" s="206"/>
      <c r="K49" s="215"/>
      <c r="L49" s="207"/>
      <c r="M49" s="207"/>
      <c r="N49" s="208"/>
    </row>
    <row r="50" spans="1:14" x14ac:dyDescent="0.2">
      <c r="A50" s="68" t="s">
        <v>441</v>
      </c>
      <c r="B50" s="68"/>
      <c r="C50" s="68"/>
      <c r="D50" s="68"/>
      <c r="E50" s="68"/>
      <c r="F50" s="68"/>
      <c r="G50" s="68"/>
      <c r="H50" s="68"/>
      <c r="I50" s="68"/>
      <c r="J50" s="68"/>
      <c r="K50" s="68"/>
      <c r="L50" s="68"/>
      <c r="M50" s="68"/>
      <c r="N50" s="68"/>
    </row>
    <row r="51" spans="1:14" x14ac:dyDescent="0.2">
      <c r="A51" s="68" t="s">
        <v>442</v>
      </c>
      <c r="B51" s="68"/>
      <c r="C51" s="68"/>
      <c r="D51" s="68"/>
      <c r="E51" s="68"/>
      <c r="F51" s="68"/>
      <c r="G51" s="68"/>
      <c r="H51" s="68"/>
      <c r="I51" s="68"/>
      <c r="J51" s="68"/>
      <c r="K51" s="68"/>
      <c r="L51" s="68"/>
      <c r="M51" s="68"/>
      <c r="N51" s="68"/>
    </row>
  </sheetData>
  <mergeCells count="4">
    <mergeCell ref="I3:N3"/>
    <mergeCell ref="B3:E3"/>
    <mergeCell ref="F3:H3"/>
    <mergeCell ref="A3:A4"/>
  </mergeCells>
  <pageMargins left="0.23622047244094491" right="0.23622047244094491" top="0.74803149606299213" bottom="0.74803149606299213" header="0.31496062992125984" footer="0.31496062992125984"/>
  <pageSetup paperSize="9" orientation="landscape" r:id="rId1"/>
  <headerFooter alignWithMargins="0">
    <oddHeader>&amp;C&amp;"Arial,Negrita"&amp;18PROYECTO DE PRESUPUESTO 2021</oddHeader>
    <oddFooter>&amp;L&amp;"Arial,Negrita"&amp;8PROYECTO DE PRESUPUESTO PARA EL AÑO FISCAL 2021
INFORMACIÓN PARA LA COMISIÓN DE PRESUPUESTO Y CUENTA GENERAL DE LA REPÚBLICA DEL CONGRESO DE LA REPÚBLICA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13">
    <tabColor theme="9" tint="-0.249977111117893"/>
  </sheetPr>
  <dimension ref="A1:V25"/>
  <sheetViews>
    <sheetView view="pageLayout" zoomScaleNormal="100" zoomScaleSheetLayoutView="90" workbookViewId="0">
      <selection activeCell="L27" sqref="L27"/>
    </sheetView>
  </sheetViews>
  <sheetFormatPr baseColWidth="10" defaultRowHeight="11.25" x14ac:dyDescent="0.2"/>
  <cols>
    <col min="1" max="1" width="25.5703125" style="111" customWidth="1"/>
    <col min="2" max="2" width="5.85546875" style="111" customWidth="1"/>
    <col min="3" max="3" width="12.140625" style="111" customWidth="1"/>
    <col min="4" max="4" width="10.7109375" style="111" customWidth="1"/>
    <col min="5" max="7" width="7" style="111" customWidth="1"/>
    <col min="8" max="8" width="8" style="111" bestFit="1" customWidth="1"/>
    <col min="9" max="9" width="5.28515625" style="111" bestFit="1" customWidth="1"/>
    <col min="10" max="10" width="7" style="111" customWidth="1"/>
    <col min="11" max="11" width="10.5703125" style="111" customWidth="1"/>
    <col min="12" max="12" width="7" style="111" customWidth="1"/>
    <col min="13" max="13" width="12" style="111" customWidth="1"/>
    <col min="14" max="15" width="7" style="111" customWidth="1"/>
    <col min="16" max="16" width="8" style="111" bestFit="1" customWidth="1"/>
    <col min="17" max="17" width="7" style="111" customWidth="1"/>
    <col min="18" max="16384" width="11.42578125" style="111"/>
  </cols>
  <sheetData>
    <row r="1" spans="1:22" x14ac:dyDescent="0.2">
      <c r="A1" s="109" t="s">
        <v>443</v>
      </c>
      <c r="B1" s="112"/>
      <c r="C1" s="112"/>
      <c r="D1" s="112"/>
      <c r="E1" s="112"/>
    </row>
    <row r="2" spans="1:22" ht="12" thickBot="1" x14ac:dyDescent="0.25">
      <c r="A2" s="110" t="s">
        <v>373</v>
      </c>
      <c r="B2" s="110"/>
      <c r="C2" s="110"/>
      <c r="D2" s="110"/>
      <c r="E2" s="110"/>
      <c r="F2" s="110"/>
      <c r="G2" s="110"/>
      <c r="H2" s="110"/>
      <c r="I2" s="110"/>
      <c r="J2" s="110"/>
      <c r="K2" s="110"/>
      <c r="L2" s="110"/>
      <c r="M2" s="110"/>
      <c r="N2" s="110"/>
      <c r="O2" s="110"/>
      <c r="P2" s="110"/>
      <c r="Q2" s="110"/>
      <c r="R2" s="110"/>
      <c r="S2" s="110"/>
      <c r="T2" s="110"/>
      <c r="U2" s="110"/>
      <c r="V2" s="110"/>
    </row>
    <row r="3" spans="1:22" ht="12" thickBot="1" x14ac:dyDescent="0.25">
      <c r="A3" s="596" t="s">
        <v>1</v>
      </c>
      <c r="B3" s="598" t="s">
        <v>444</v>
      </c>
      <c r="C3" s="599"/>
      <c r="D3" s="599"/>
      <c r="E3" s="599"/>
      <c r="F3" s="599"/>
      <c r="G3" s="599"/>
      <c r="H3" s="600"/>
      <c r="I3" s="601" t="s">
        <v>445</v>
      </c>
      <c r="J3" s="599"/>
      <c r="K3" s="599"/>
      <c r="L3" s="599"/>
      <c r="M3" s="600"/>
      <c r="N3" s="601" t="s">
        <v>446</v>
      </c>
      <c r="O3" s="600"/>
      <c r="P3" s="601" t="s">
        <v>0</v>
      </c>
      <c r="Q3" s="600"/>
    </row>
    <row r="4" spans="1:22" s="116" customFormat="1" ht="80.25" customHeight="1" thickBot="1" x14ac:dyDescent="0.25">
      <c r="A4" s="597"/>
      <c r="B4" s="541" t="s">
        <v>309</v>
      </c>
      <c r="C4" s="542" t="s">
        <v>310</v>
      </c>
      <c r="D4" s="541" t="s">
        <v>311</v>
      </c>
      <c r="E4" s="541" t="s">
        <v>312</v>
      </c>
      <c r="F4" s="541" t="s">
        <v>313</v>
      </c>
      <c r="G4" s="543" t="s">
        <v>314</v>
      </c>
      <c r="H4" s="543" t="s">
        <v>315</v>
      </c>
      <c r="I4" s="541" t="s">
        <v>316</v>
      </c>
      <c r="J4" s="543" t="s">
        <v>314</v>
      </c>
      <c r="K4" s="543" t="s">
        <v>317</v>
      </c>
      <c r="L4" s="543" t="s">
        <v>318</v>
      </c>
      <c r="M4" s="543" t="s">
        <v>319</v>
      </c>
      <c r="N4" s="543" t="s">
        <v>320</v>
      </c>
      <c r="O4" s="542" t="s">
        <v>321</v>
      </c>
      <c r="P4" s="541" t="s">
        <v>18</v>
      </c>
      <c r="Q4" s="543" t="s">
        <v>20</v>
      </c>
    </row>
    <row r="5" spans="1:22" x14ac:dyDescent="0.2">
      <c r="A5" s="522"/>
      <c r="B5" s="523"/>
      <c r="C5" s="524"/>
      <c r="D5" s="523"/>
      <c r="E5" s="525"/>
      <c r="F5" s="525"/>
      <c r="G5" s="525"/>
      <c r="H5" s="525">
        <f>SUM(C5:G5)</f>
        <v>0</v>
      </c>
      <c r="I5" s="525"/>
      <c r="J5" s="525"/>
      <c r="K5" s="525"/>
      <c r="L5" s="525"/>
      <c r="M5" s="525">
        <f>SUM(I5:L5)</f>
        <v>0</v>
      </c>
      <c r="N5" s="525"/>
      <c r="O5" s="525"/>
      <c r="P5" s="524">
        <f>+H5+M5</f>
        <v>0</v>
      </c>
      <c r="Q5" s="526"/>
    </row>
    <row r="6" spans="1:22" x14ac:dyDescent="0.2">
      <c r="A6" s="522" t="s">
        <v>47</v>
      </c>
      <c r="B6" s="523"/>
      <c r="C6" s="524">
        <v>169267864</v>
      </c>
      <c r="D6" s="523">
        <v>6120865</v>
      </c>
      <c r="E6" s="525">
        <v>41229093</v>
      </c>
      <c r="F6" s="525"/>
      <c r="G6" s="525">
        <v>1356286</v>
      </c>
      <c r="H6" s="525">
        <f t="shared" ref="H6:H23" si="0">SUM(C6:G6)</f>
        <v>217974108</v>
      </c>
      <c r="I6" s="525"/>
      <c r="J6" s="525"/>
      <c r="K6" s="525">
        <v>27499083</v>
      </c>
      <c r="L6" s="525"/>
      <c r="M6" s="525">
        <f t="shared" ref="M6:M23" si="1">SUM(I6:L6)</f>
        <v>27499083</v>
      </c>
      <c r="N6" s="525"/>
      <c r="O6" s="525"/>
      <c r="P6" s="524">
        <f t="shared" ref="P6:P23" si="2">+H6+M6</f>
        <v>245473191</v>
      </c>
      <c r="Q6" s="526"/>
    </row>
    <row r="7" spans="1:22" x14ac:dyDescent="0.2">
      <c r="A7" s="522"/>
      <c r="B7" s="523"/>
      <c r="C7" s="524"/>
      <c r="D7" s="523"/>
      <c r="E7" s="525"/>
      <c r="F7" s="525"/>
      <c r="G7" s="525"/>
      <c r="H7" s="525">
        <f t="shared" si="0"/>
        <v>0</v>
      </c>
      <c r="I7" s="525"/>
      <c r="J7" s="525"/>
      <c r="K7" s="525"/>
      <c r="L7" s="525"/>
      <c r="M7" s="525">
        <f t="shared" si="1"/>
        <v>0</v>
      </c>
      <c r="N7" s="525"/>
      <c r="O7" s="525"/>
      <c r="P7" s="524">
        <f t="shared" si="2"/>
        <v>0</v>
      </c>
      <c r="Q7" s="526"/>
    </row>
    <row r="8" spans="1:22" x14ac:dyDescent="0.2">
      <c r="A8" s="522" t="s">
        <v>48</v>
      </c>
      <c r="B8" s="523"/>
      <c r="C8" s="524"/>
      <c r="D8" s="523"/>
      <c r="E8" s="525">
        <v>9540548</v>
      </c>
      <c r="F8" s="525"/>
      <c r="G8" s="525">
        <v>10028</v>
      </c>
      <c r="H8" s="525">
        <f t="shared" si="0"/>
        <v>9550576</v>
      </c>
      <c r="I8" s="525"/>
      <c r="J8" s="525"/>
      <c r="K8" s="525"/>
      <c r="L8" s="525"/>
      <c r="M8" s="525">
        <f t="shared" si="1"/>
        <v>0</v>
      </c>
      <c r="N8" s="525"/>
      <c r="O8" s="525"/>
      <c r="P8" s="524">
        <f t="shared" si="2"/>
        <v>9550576</v>
      </c>
      <c r="Q8" s="526"/>
    </row>
    <row r="9" spans="1:22" x14ac:dyDescent="0.2">
      <c r="A9" s="522"/>
      <c r="B9" s="523"/>
      <c r="C9" s="524"/>
      <c r="D9" s="523"/>
      <c r="E9" s="525"/>
      <c r="F9" s="525"/>
      <c r="G9" s="525"/>
      <c r="H9" s="525">
        <f t="shared" si="0"/>
        <v>0</v>
      </c>
      <c r="I9" s="525"/>
      <c r="J9" s="525"/>
      <c r="K9" s="525"/>
      <c r="L9" s="525"/>
      <c r="M9" s="525">
        <f t="shared" si="1"/>
        <v>0</v>
      </c>
      <c r="N9" s="525"/>
      <c r="O9" s="525"/>
      <c r="P9" s="524">
        <f t="shared" si="2"/>
        <v>0</v>
      </c>
      <c r="Q9" s="526"/>
    </row>
    <row r="10" spans="1:22" x14ac:dyDescent="0.2">
      <c r="A10" s="522" t="s">
        <v>49</v>
      </c>
      <c r="B10" s="523"/>
      <c r="C10" s="524"/>
      <c r="D10" s="523"/>
      <c r="E10" s="525"/>
      <c r="F10" s="525"/>
      <c r="G10" s="525"/>
      <c r="H10" s="525">
        <f t="shared" si="0"/>
        <v>0</v>
      </c>
      <c r="I10" s="525"/>
      <c r="J10" s="525"/>
      <c r="K10" s="525">
        <v>90351410</v>
      </c>
      <c r="L10" s="525"/>
      <c r="M10" s="525">
        <f t="shared" si="1"/>
        <v>90351410</v>
      </c>
      <c r="N10" s="525"/>
      <c r="O10" s="525"/>
      <c r="P10" s="524">
        <f t="shared" si="2"/>
        <v>90351410</v>
      </c>
      <c r="Q10" s="526"/>
    </row>
    <row r="11" spans="1:22" x14ac:dyDescent="0.2">
      <c r="A11" s="522" t="s">
        <v>108</v>
      </c>
      <c r="B11" s="523"/>
      <c r="C11" s="524"/>
      <c r="D11" s="523"/>
      <c r="E11" s="525"/>
      <c r="F11" s="525"/>
      <c r="G11" s="525"/>
      <c r="H11" s="525">
        <f t="shared" si="0"/>
        <v>0</v>
      </c>
      <c r="I11" s="525"/>
      <c r="J11" s="525"/>
      <c r="K11" s="525"/>
      <c r="L11" s="525"/>
      <c r="M11" s="525">
        <f t="shared" si="1"/>
        <v>0</v>
      </c>
      <c r="N11" s="525"/>
      <c r="O11" s="525"/>
      <c r="P11" s="524">
        <f t="shared" si="2"/>
        <v>0</v>
      </c>
      <c r="Q11" s="526"/>
    </row>
    <row r="12" spans="1:22" x14ac:dyDescent="0.2">
      <c r="A12" s="527"/>
      <c r="B12" s="523"/>
      <c r="C12" s="524"/>
      <c r="D12" s="523"/>
      <c r="E12" s="525"/>
      <c r="F12" s="525"/>
      <c r="G12" s="525"/>
      <c r="H12" s="525">
        <f t="shared" si="0"/>
        <v>0</v>
      </c>
      <c r="I12" s="525"/>
      <c r="J12" s="525"/>
      <c r="K12" s="525"/>
      <c r="L12" s="525"/>
      <c r="M12" s="525">
        <f t="shared" si="1"/>
        <v>0</v>
      </c>
      <c r="N12" s="525"/>
      <c r="O12" s="525"/>
      <c r="P12" s="524">
        <f t="shared" si="2"/>
        <v>0</v>
      </c>
      <c r="Q12" s="526"/>
    </row>
    <row r="13" spans="1:22" x14ac:dyDescent="0.2">
      <c r="A13" s="522" t="s">
        <v>50</v>
      </c>
      <c r="B13" s="523"/>
      <c r="C13" s="524"/>
      <c r="D13" s="523"/>
      <c r="E13" s="525">
        <v>50000</v>
      </c>
      <c r="F13" s="525"/>
      <c r="G13" s="525"/>
      <c r="H13" s="525">
        <f t="shared" si="0"/>
        <v>50000</v>
      </c>
      <c r="I13" s="525"/>
      <c r="J13" s="525"/>
      <c r="K13" s="525"/>
      <c r="L13" s="525"/>
      <c r="M13" s="525">
        <f t="shared" si="1"/>
        <v>0</v>
      </c>
      <c r="N13" s="525"/>
      <c r="O13" s="525"/>
      <c r="P13" s="524">
        <f t="shared" si="2"/>
        <v>50000</v>
      </c>
      <c r="Q13" s="526"/>
    </row>
    <row r="14" spans="1:22" x14ac:dyDescent="0.2">
      <c r="A14" s="522"/>
      <c r="B14" s="523"/>
      <c r="C14" s="524"/>
      <c r="D14" s="523"/>
      <c r="E14" s="525"/>
      <c r="F14" s="525"/>
      <c r="G14" s="525"/>
      <c r="H14" s="525">
        <f t="shared" si="0"/>
        <v>0</v>
      </c>
      <c r="I14" s="525"/>
      <c r="J14" s="525"/>
      <c r="K14" s="525"/>
      <c r="L14" s="525"/>
      <c r="M14" s="525">
        <f t="shared" si="1"/>
        <v>0</v>
      </c>
      <c r="N14" s="525"/>
      <c r="O14" s="525"/>
      <c r="P14" s="524">
        <f t="shared" si="2"/>
        <v>0</v>
      </c>
      <c r="Q14" s="526"/>
    </row>
    <row r="15" spans="1:22" x14ac:dyDescent="0.2">
      <c r="A15" s="522" t="s">
        <v>51</v>
      </c>
      <c r="B15" s="523"/>
      <c r="C15" s="524"/>
      <c r="D15" s="523"/>
      <c r="E15" s="525">
        <v>962003</v>
      </c>
      <c r="F15" s="525"/>
      <c r="G15" s="525"/>
      <c r="H15" s="525">
        <f t="shared" si="0"/>
        <v>962003</v>
      </c>
      <c r="I15" s="525"/>
      <c r="J15" s="525"/>
      <c r="K15" s="525">
        <v>18866463</v>
      </c>
      <c r="L15" s="525"/>
      <c r="M15" s="525">
        <f t="shared" si="1"/>
        <v>18866463</v>
      </c>
      <c r="N15" s="525"/>
      <c r="O15" s="525"/>
      <c r="P15" s="524">
        <f t="shared" si="2"/>
        <v>19828466</v>
      </c>
      <c r="Q15" s="526"/>
    </row>
    <row r="16" spans="1:22" x14ac:dyDescent="0.2">
      <c r="A16" s="522"/>
      <c r="B16" s="523"/>
      <c r="C16" s="524"/>
      <c r="D16" s="523"/>
      <c r="E16" s="525"/>
      <c r="F16" s="525"/>
      <c r="G16" s="525"/>
      <c r="H16" s="525">
        <f t="shared" si="0"/>
        <v>0</v>
      </c>
      <c r="I16" s="525"/>
      <c r="J16" s="525"/>
      <c r="K16" s="525"/>
      <c r="L16" s="525"/>
      <c r="M16" s="525">
        <f t="shared" si="1"/>
        <v>0</v>
      </c>
      <c r="N16" s="525"/>
      <c r="O16" s="525"/>
      <c r="P16" s="524">
        <f t="shared" si="2"/>
        <v>0</v>
      </c>
      <c r="Q16" s="526"/>
    </row>
    <row r="17" spans="1:17" x14ac:dyDescent="0.2">
      <c r="A17" s="522" t="s">
        <v>55</v>
      </c>
      <c r="B17" s="523"/>
      <c r="C17" s="524"/>
      <c r="D17" s="523"/>
      <c r="E17" s="525"/>
      <c r="F17" s="525"/>
      <c r="G17" s="525"/>
      <c r="H17" s="525">
        <f t="shared" si="0"/>
        <v>0</v>
      </c>
      <c r="I17" s="525"/>
      <c r="J17" s="525"/>
      <c r="K17" s="525"/>
      <c r="L17" s="525"/>
      <c r="M17" s="525">
        <f t="shared" si="1"/>
        <v>0</v>
      </c>
      <c r="N17" s="525"/>
      <c r="O17" s="525"/>
      <c r="P17" s="524">
        <f t="shared" si="2"/>
        <v>0</v>
      </c>
      <c r="Q17" s="526"/>
    </row>
    <row r="18" spans="1:17" x14ac:dyDescent="0.2">
      <c r="A18" s="522" t="s">
        <v>56</v>
      </c>
      <c r="B18" s="523"/>
      <c r="C18" s="524"/>
      <c r="D18" s="523"/>
      <c r="E18" s="525"/>
      <c r="F18" s="525"/>
      <c r="G18" s="525"/>
      <c r="H18" s="525">
        <f t="shared" si="0"/>
        <v>0</v>
      </c>
      <c r="I18" s="525"/>
      <c r="J18" s="525"/>
      <c r="K18" s="525"/>
      <c r="L18" s="525"/>
      <c r="M18" s="525">
        <f t="shared" si="1"/>
        <v>0</v>
      </c>
      <c r="N18" s="525"/>
      <c r="O18" s="525"/>
      <c r="P18" s="524">
        <f t="shared" si="2"/>
        <v>0</v>
      </c>
      <c r="Q18" s="526"/>
    </row>
    <row r="19" spans="1:17" x14ac:dyDescent="0.2">
      <c r="A19" s="522"/>
      <c r="B19" s="523"/>
      <c r="C19" s="524"/>
      <c r="D19" s="523"/>
      <c r="E19" s="525"/>
      <c r="F19" s="525"/>
      <c r="G19" s="525"/>
      <c r="H19" s="525">
        <f t="shared" si="0"/>
        <v>0</v>
      </c>
      <c r="I19" s="525"/>
      <c r="J19" s="525"/>
      <c r="K19" s="525"/>
      <c r="L19" s="525"/>
      <c r="M19" s="525">
        <f t="shared" si="1"/>
        <v>0</v>
      </c>
      <c r="N19" s="525"/>
      <c r="O19" s="525"/>
      <c r="P19" s="524">
        <f t="shared" si="2"/>
        <v>0</v>
      </c>
      <c r="Q19" s="526"/>
    </row>
    <row r="20" spans="1:17" x14ac:dyDescent="0.2">
      <c r="A20" s="522"/>
      <c r="B20" s="523"/>
      <c r="C20" s="524"/>
      <c r="D20" s="523"/>
      <c r="E20" s="525"/>
      <c r="F20" s="525"/>
      <c r="G20" s="525"/>
      <c r="H20" s="525">
        <f t="shared" si="0"/>
        <v>0</v>
      </c>
      <c r="I20" s="525"/>
      <c r="J20" s="525"/>
      <c r="K20" s="525"/>
      <c r="L20" s="525"/>
      <c r="M20" s="525">
        <f t="shared" si="1"/>
        <v>0</v>
      </c>
      <c r="N20" s="525"/>
      <c r="O20" s="525"/>
      <c r="P20" s="524">
        <f t="shared" si="2"/>
        <v>0</v>
      </c>
      <c r="Q20" s="526"/>
    </row>
    <row r="21" spans="1:17" x14ac:dyDescent="0.2">
      <c r="A21" s="522"/>
      <c r="B21" s="523"/>
      <c r="C21" s="524"/>
      <c r="D21" s="523"/>
      <c r="E21" s="525"/>
      <c r="F21" s="525"/>
      <c r="G21" s="525"/>
      <c r="H21" s="525">
        <f t="shared" si="0"/>
        <v>0</v>
      </c>
      <c r="I21" s="525"/>
      <c r="J21" s="525"/>
      <c r="K21" s="525"/>
      <c r="L21" s="525"/>
      <c r="M21" s="525">
        <f t="shared" si="1"/>
        <v>0</v>
      </c>
      <c r="N21" s="525"/>
      <c r="O21" s="525"/>
      <c r="P21" s="524">
        <f t="shared" si="2"/>
        <v>0</v>
      </c>
      <c r="Q21" s="526"/>
    </row>
    <row r="22" spans="1:17" x14ac:dyDescent="0.2">
      <c r="A22" s="522"/>
      <c r="B22" s="523"/>
      <c r="C22" s="524"/>
      <c r="D22" s="523"/>
      <c r="E22" s="525"/>
      <c r="F22" s="525"/>
      <c r="G22" s="525"/>
      <c r="H22" s="525">
        <f t="shared" si="0"/>
        <v>0</v>
      </c>
      <c r="I22" s="525"/>
      <c r="J22" s="525"/>
      <c r="K22" s="525"/>
      <c r="L22" s="525"/>
      <c r="M22" s="525">
        <f t="shared" si="1"/>
        <v>0</v>
      </c>
      <c r="N22" s="525"/>
      <c r="O22" s="525"/>
      <c r="P22" s="524">
        <f t="shared" si="2"/>
        <v>0</v>
      </c>
      <c r="Q22" s="526"/>
    </row>
    <row r="23" spans="1:17" ht="12" thickBot="1" x14ac:dyDescent="0.25">
      <c r="A23" s="528"/>
      <c r="B23" s="529"/>
      <c r="C23" s="530"/>
      <c r="D23" s="526"/>
      <c r="E23" s="531"/>
      <c r="F23" s="531"/>
      <c r="G23" s="531"/>
      <c r="H23" s="525">
        <f t="shared" si="0"/>
        <v>0</v>
      </c>
      <c r="I23" s="531"/>
      <c r="J23" s="531"/>
      <c r="K23" s="531"/>
      <c r="L23" s="531"/>
      <c r="M23" s="525">
        <f t="shared" si="1"/>
        <v>0</v>
      </c>
      <c r="N23" s="531"/>
      <c r="O23" s="531"/>
      <c r="P23" s="524">
        <f t="shared" si="2"/>
        <v>0</v>
      </c>
      <c r="Q23" s="526"/>
    </row>
    <row r="24" spans="1:17" ht="12" thickBot="1" x14ac:dyDescent="0.25">
      <c r="A24" s="518" t="s">
        <v>0</v>
      </c>
      <c r="B24" s="532"/>
      <c r="C24" s="533">
        <f>SUM(C5:C23)</f>
        <v>169267864</v>
      </c>
      <c r="D24" s="533">
        <f t="shared" ref="D24:Q24" si="3">SUM(D5:D23)</f>
        <v>6120865</v>
      </c>
      <c r="E24" s="533">
        <f t="shared" si="3"/>
        <v>51781644</v>
      </c>
      <c r="F24" s="533">
        <f t="shared" si="3"/>
        <v>0</v>
      </c>
      <c r="G24" s="533">
        <f t="shared" si="3"/>
        <v>1366314</v>
      </c>
      <c r="H24" s="533">
        <f>SUM(H5:H23)</f>
        <v>228536687</v>
      </c>
      <c r="I24" s="533">
        <f t="shared" si="3"/>
        <v>0</v>
      </c>
      <c r="J24" s="533">
        <f t="shared" si="3"/>
        <v>0</v>
      </c>
      <c r="K24" s="533">
        <f t="shared" si="3"/>
        <v>136716956</v>
      </c>
      <c r="L24" s="533">
        <f t="shared" si="3"/>
        <v>0</v>
      </c>
      <c r="M24" s="533">
        <f t="shared" si="3"/>
        <v>136716956</v>
      </c>
      <c r="N24" s="533">
        <f t="shared" si="3"/>
        <v>0</v>
      </c>
      <c r="O24" s="533">
        <f t="shared" si="3"/>
        <v>0</v>
      </c>
      <c r="P24" s="533">
        <f t="shared" si="3"/>
        <v>365253643</v>
      </c>
      <c r="Q24" s="533">
        <f t="shared" si="3"/>
        <v>0</v>
      </c>
    </row>
    <row r="25" spans="1:17" x14ac:dyDescent="0.2">
      <c r="A25" s="365"/>
    </row>
  </sheetData>
  <mergeCells count="5">
    <mergeCell ref="A3:A4"/>
    <mergeCell ref="B3:H3"/>
    <mergeCell ref="I3:M3"/>
    <mergeCell ref="N3:O3"/>
    <mergeCell ref="P3:Q3"/>
  </mergeCells>
  <phoneticPr fontId="0" type="noConversion"/>
  <pageMargins left="0.23622047244094491" right="0.23622047244094491" top="0.74803149606299213" bottom="0.74803149606299213" header="0.31496062992125984" footer="0.31496062992125984"/>
  <pageSetup paperSize="9" orientation="landscape" r:id="rId1"/>
  <headerFooter alignWithMargins="0">
    <oddHeader xml:space="preserve">&amp;C&amp;"Arial,Negrita"&amp;18PROYECTO DEL PRESUPUESTO 2021
</oddHeader>
    <oddFooter>&amp;L&amp;"Arial,Negrita"&amp;8PROYECTO DE PRESUPUESTO PARA EL AÑO FISCAL 2020
INFORMACIÓN PARA LA COMISIÓN DE PRESUPUESTO Y CUENTA GENERAL DE LA REPÚBLICA DEL CONGRESO DE LA REPÚBLICA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7">
    <tabColor theme="9" tint="-0.249977111117893"/>
    <pageSetUpPr fitToPage="1"/>
  </sheetPr>
  <dimension ref="A1:V110"/>
  <sheetViews>
    <sheetView topLeftCell="E1" zoomScaleNormal="100" zoomScaleSheetLayoutView="70" zoomScalePageLayoutView="96" workbookViewId="0">
      <pane ySplit="4" topLeftCell="A80" activePane="bottomLeft" state="frozen"/>
      <selection pane="bottomLeft" activeCell="N110" sqref="N110"/>
    </sheetView>
  </sheetViews>
  <sheetFormatPr baseColWidth="10" defaultColWidth="11.42578125" defaultRowHeight="12" x14ac:dyDescent="0.2"/>
  <cols>
    <col min="1" max="1" width="25" style="223" customWidth="1"/>
    <col min="2" max="2" width="16.28515625" style="223" bestFit="1" customWidth="1"/>
    <col min="3" max="3" width="8.7109375" style="223" customWidth="1"/>
    <col min="4" max="4" width="15.28515625" style="223" bestFit="1" customWidth="1"/>
    <col min="5" max="5" width="14.5703125" style="223" customWidth="1"/>
    <col min="6" max="6" width="16.42578125" style="223" customWidth="1"/>
    <col min="7" max="7" width="15.85546875" style="223" customWidth="1"/>
    <col min="8" max="8" width="13.85546875" style="223" customWidth="1"/>
    <col min="9" max="9" width="19.140625" style="550" customWidth="1"/>
    <col min="10" max="10" width="8.7109375" style="223" customWidth="1"/>
    <col min="11" max="11" width="12.85546875" style="223" customWidth="1"/>
    <col min="12" max="12" width="14.42578125" style="223" customWidth="1"/>
    <col min="13" max="13" width="8.7109375" style="223" customWidth="1"/>
    <col min="14" max="14" width="15.140625" style="550" customWidth="1"/>
    <col min="15" max="16" width="8.7109375" style="223" customWidth="1"/>
    <col min="17" max="17" width="16.85546875" style="223" customWidth="1"/>
    <col min="18" max="18" width="13.7109375" style="223" customWidth="1"/>
    <col min="19" max="19" width="14.5703125" style="223" customWidth="1"/>
    <col min="20" max="16384" width="11.42578125" style="223"/>
  </cols>
  <sheetData>
    <row r="1" spans="1:22" x14ac:dyDescent="0.2">
      <c r="A1" s="367" t="s">
        <v>447</v>
      </c>
      <c r="B1" s="232"/>
      <c r="C1" s="232"/>
      <c r="D1" s="232"/>
      <c r="E1" s="232"/>
      <c r="F1" s="232"/>
      <c r="G1" s="232"/>
      <c r="H1" s="232"/>
      <c r="I1" s="556"/>
      <c r="J1" s="232"/>
      <c r="K1" s="232"/>
      <c r="L1" s="232"/>
      <c r="M1" s="232"/>
      <c r="N1" s="556"/>
      <c r="O1" s="232"/>
      <c r="P1" s="232"/>
      <c r="Q1" s="232"/>
      <c r="R1" s="232"/>
    </row>
    <row r="2" spans="1:22" ht="12.75" thickBot="1" x14ac:dyDescent="0.25">
      <c r="A2" s="108" t="s">
        <v>373</v>
      </c>
      <c r="B2" s="2"/>
      <c r="C2" s="2"/>
      <c r="D2" s="2"/>
      <c r="E2" s="2"/>
      <c r="F2" s="2"/>
      <c r="G2" s="2"/>
      <c r="H2" s="2"/>
      <c r="I2" s="92"/>
      <c r="J2" s="2"/>
      <c r="K2" s="2"/>
      <c r="L2" s="2"/>
      <c r="M2" s="2"/>
      <c r="N2" s="92"/>
      <c r="O2" s="2"/>
      <c r="P2" s="2"/>
      <c r="Q2" s="2"/>
      <c r="R2" s="2"/>
      <c r="S2" s="2"/>
      <c r="T2" s="2"/>
      <c r="U2" s="2"/>
      <c r="V2" s="2"/>
    </row>
    <row r="3" spans="1:22" ht="27" customHeight="1" x14ac:dyDescent="0.2">
      <c r="A3" s="604" t="s">
        <v>142</v>
      </c>
      <c r="B3" s="606" t="s">
        <v>143</v>
      </c>
      <c r="C3" s="608" t="s">
        <v>21</v>
      </c>
      <c r="D3" s="609"/>
      <c r="E3" s="609"/>
      <c r="F3" s="609"/>
      <c r="G3" s="609"/>
      <c r="H3" s="609"/>
      <c r="I3" s="610"/>
      <c r="J3" s="611" t="s">
        <v>124</v>
      </c>
      <c r="K3" s="602"/>
      <c r="L3" s="602"/>
      <c r="M3" s="602"/>
      <c r="N3" s="603"/>
      <c r="O3" s="612" t="s">
        <v>109</v>
      </c>
      <c r="P3" s="602"/>
      <c r="Q3" s="602" t="s">
        <v>0</v>
      </c>
      <c r="R3" s="603"/>
    </row>
    <row r="4" spans="1:22" ht="113.25" customHeight="1" thickBot="1" x14ac:dyDescent="0.25">
      <c r="A4" s="605"/>
      <c r="B4" s="607"/>
      <c r="C4" s="132" t="s">
        <v>260</v>
      </c>
      <c r="D4" s="133" t="s">
        <v>261</v>
      </c>
      <c r="E4" s="133" t="s">
        <v>262</v>
      </c>
      <c r="F4" s="133" t="s">
        <v>263</v>
      </c>
      <c r="G4" s="133" t="s">
        <v>264</v>
      </c>
      <c r="H4" s="133" t="s">
        <v>265</v>
      </c>
      <c r="I4" s="133" t="s">
        <v>121</v>
      </c>
      <c r="J4" s="132" t="s">
        <v>264</v>
      </c>
      <c r="K4" s="133" t="s">
        <v>265</v>
      </c>
      <c r="L4" s="133" t="s">
        <v>266</v>
      </c>
      <c r="M4" s="133" t="s">
        <v>267</v>
      </c>
      <c r="N4" s="133" t="s">
        <v>122</v>
      </c>
      <c r="O4" s="134" t="s">
        <v>268</v>
      </c>
      <c r="P4" s="133" t="s">
        <v>123</v>
      </c>
      <c r="Q4" s="135" t="s">
        <v>43</v>
      </c>
      <c r="R4" s="136" t="s">
        <v>107</v>
      </c>
    </row>
    <row r="5" spans="1:22" x14ac:dyDescent="0.2">
      <c r="A5" s="391" t="s">
        <v>144</v>
      </c>
      <c r="B5" s="231">
        <v>2019</v>
      </c>
      <c r="C5" s="392"/>
      <c r="D5" s="393"/>
      <c r="E5" s="393"/>
      <c r="F5" s="393"/>
      <c r="G5" s="393"/>
      <c r="H5" s="393"/>
      <c r="I5" s="557"/>
      <c r="J5" s="392"/>
      <c r="K5" s="393"/>
      <c r="L5" s="393"/>
      <c r="M5" s="393"/>
      <c r="N5" s="557"/>
      <c r="O5" s="395"/>
      <c r="P5" s="393"/>
      <c r="Q5" s="393"/>
      <c r="R5" s="394"/>
    </row>
    <row r="6" spans="1:22" x14ac:dyDescent="0.2">
      <c r="A6" s="396"/>
      <c r="B6" s="228">
        <v>2020</v>
      </c>
      <c r="C6" s="397"/>
      <c r="D6" s="398"/>
      <c r="E6" s="398"/>
      <c r="F6" s="398"/>
      <c r="G6" s="398"/>
      <c r="H6" s="398"/>
      <c r="I6" s="558"/>
      <c r="J6" s="397"/>
      <c r="K6" s="398"/>
      <c r="L6" s="398"/>
      <c r="M6" s="398"/>
      <c r="N6" s="558"/>
      <c r="O6" s="400"/>
      <c r="P6" s="398"/>
      <c r="Q6" s="398"/>
      <c r="R6" s="399"/>
    </row>
    <row r="7" spans="1:22" x14ac:dyDescent="0.2">
      <c r="A7" s="396"/>
      <c r="B7" s="228">
        <v>2021</v>
      </c>
      <c r="C7" s="401"/>
      <c r="D7" s="402"/>
      <c r="E7" s="402"/>
      <c r="F7" s="402"/>
      <c r="G7" s="402"/>
      <c r="H7" s="402"/>
      <c r="I7" s="559"/>
      <c r="J7" s="401"/>
      <c r="K7" s="402"/>
      <c r="L7" s="402"/>
      <c r="M7" s="402"/>
      <c r="N7" s="559"/>
      <c r="O7" s="404"/>
      <c r="P7" s="402"/>
      <c r="Q7" s="402"/>
      <c r="R7" s="403"/>
    </row>
    <row r="8" spans="1:22" ht="12.75" thickBot="1" x14ac:dyDescent="0.25">
      <c r="A8" s="405"/>
      <c r="B8" s="406" t="s">
        <v>448</v>
      </c>
      <c r="C8" s="407"/>
      <c r="D8" s="408">
        <v>0</v>
      </c>
      <c r="E8" s="408"/>
      <c r="F8" s="408">
        <v>0</v>
      </c>
      <c r="G8" s="408"/>
      <c r="H8" s="408"/>
      <c r="I8" s="409"/>
      <c r="J8" s="407"/>
      <c r="K8" s="408"/>
      <c r="L8" s="408"/>
      <c r="M8" s="408"/>
      <c r="N8" s="409"/>
      <c r="O8" s="410"/>
      <c r="P8" s="408"/>
      <c r="Q8" s="408"/>
      <c r="R8" s="409"/>
    </row>
    <row r="9" spans="1:22" x14ac:dyDescent="0.2">
      <c r="A9" s="411" t="s">
        <v>145</v>
      </c>
      <c r="B9" s="231">
        <v>2019</v>
      </c>
      <c r="C9" s="412"/>
      <c r="D9" s="413"/>
      <c r="E9" s="413"/>
      <c r="F9" s="413"/>
      <c r="G9" s="413"/>
      <c r="H9" s="413"/>
      <c r="I9" s="561"/>
      <c r="J9" s="412"/>
      <c r="K9" s="413"/>
      <c r="L9" s="413"/>
      <c r="M9" s="413"/>
      <c r="N9" s="561"/>
      <c r="O9" s="415"/>
      <c r="P9" s="413"/>
      <c r="Q9" s="413"/>
      <c r="R9" s="414"/>
    </row>
    <row r="10" spans="1:22" x14ac:dyDescent="0.2">
      <c r="A10" s="396"/>
      <c r="B10" s="228">
        <v>2020</v>
      </c>
      <c r="C10" s="397"/>
      <c r="D10" s="398"/>
      <c r="E10" s="398"/>
      <c r="F10" s="398"/>
      <c r="G10" s="398"/>
      <c r="H10" s="398"/>
      <c r="I10" s="558"/>
      <c r="J10" s="397"/>
      <c r="K10" s="398"/>
      <c r="L10" s="398"/>
      <c r="M10" s="398"/>
      <c r="N10" s="558"/>
      <c r="O10" s="400"/>
      <c r="P10" s="398"/>
      <c r="Q10" s="398"/>
      <c r="R10" s="399"/>
    </row>
    <row r="11" spans="1:22" x14ac:dyDescent="0.2">
      <c r="A11" s="396"/>
      <c r="B11" s="228">
        <v>2021</v>
      </c>
      <c r="C11" s="397"/>
      <c r="D11" s="398"/>
      <c r="E11" s="398"/>
      <c r="F11" s="398"/>
      <c r="G11" s="398"/>
      <c r="H11" s="398"/>
      <c r="I11" s="558"/>
      <c r="J11" s="397"/>
      <c r="K11" s="398"/>
      <c r="L11" s="398"/>
      <c r="M11" s="398"/>
      <c r="N11" s="558"/>
      <c r="O11" s="400"/>
      <c r="P11" s="398"/>
      <c r="Q11" s="398"/>
      <c r="R11" s="399"/>
    </row>
    <row r="12" spans="1:22" ht="12.75" thickBot="1" x14ac:dyDescent="0.25">
      <c r="A12" s="416"/>
      <c r="B12" s="406" t="s">
        <v>448</v>
      </c>
      <c r="C12" s="407"/>
      <c r="D12" s="408">
        <v>0</v>
      </c>
      <c r="E12" s="408"/>
      <c r="F12" s="408">
        <v>0</v>
      </c>
      <c r="G12" s="408"/>
      <c r="H12" s="408"/>
      <c r="I12" s="409"/>
      <c r="J12" s="407"/>
      <c r="K12" s="408"/>
      <c r="L12" s="408"/>
      <c r="M12" s="408"/>
      <c r="N12" s="409"/>
      <c r="O12" s="410"/>
      <c r="P12" s="408"/>
      <c r="Q12" s="408"/>
      <c r="R12" s="409"/>
    </row>
    <row r="13" spans="1:22" ht="12.75" thickBot="1" x14ac:dyDescent="0.25">
      <c r="A13" s="391" t="s">
        <v>146</v>
      </c>
      <c r="B13" s="231">
        <v>2019</v>
      </c>
      <c r="C13" s="392"/>
      <c r="D13" s="417">
        <v>5209999</v>
      </c>
      <c r="E13" s="417">
        <v>20841</v>
      </c>
      <c r="F13" s="417">
        <v>10129308</v>
      </c>
      <c r="G13" s="417"/>
      <c r="H13" s="417">
        <v>27684</v>
      </c>
      <c r="I13" s="549">
        <f>SUM(D13:H13)</f>
        <v>15387832</v>
      </c>
      <c r="J13" s="418"/>
      <c r="K13" s="417"/>
      <c r="L13" s="417">
        <v>22026943</v>
      </c>
      <c r="M13" s="417"/>
      <c r="N13" s="551">
        <f>SUM(J13:M13)</f>
        <v>22026943</v>
      </c>
      <c r="O13" s="395"/>
      <c r="P13" s="393"/>
      <c r="Q13" s="429">
        <f>I13+N13</f>
        <v>37414775</v>
      </c>
      <c r="R13" s="420">
        <f>+Q13/Q105*100%</f>
        <v>0.10733101919589888</v>
      </c>
      <c r="S13" s="421">
        <v>348592376</v>
      </c>
    </row>
    <row r="14" spans="1:22" x14ac:dyDescent="0.2">
      <c r="A14" s="396"/>
      <c r="B14" s="228">
        <v>2020</v>
      </c>
      <c r="C14" s="397"/>
      <c r="D14" s="419">
        <v>7208065</v>
      </c>
      <c r="E14" s="419">
        <v>20841</v>
      </c>
      <c r="F14" s="419">
        <v>14091043</v>
      </c>
      <c r="G14" s="419"/>
      <c r="H14" s="419">
        <v>22684</v>
      </c>
      <c r="I14" s="562">
        <f>SUM(D14:H14)</f>
        <v>21342633</v>
      </c>
      <c r="J14" s="422"/>
      <c r="K14" s="419"/>
      <c r="L14" s="419">
        <v>14242465</v>
      </c>
      <c r="M14" s="419"/>
      <c r="N14" s="551">
        <f>SUM(J14:M14)</f>
        <v>14242465</v>
      </c>
      <c r="O14" s="400"/>
      <c r="P14" s="398"/>
      <c r="Q14" s="419">
        <f>I14+N14</f>
        <v>35585098</v>
      </c>
      <c r="R14" s="420">
        <f>+Q14/Q106*100%</f>
        <v>0.10227551192675909</v>
      </c>
      <c r="S14" s="421">
        <v>346984994</v>
      </c>
    </row>
    <row r="15" spans="1:22" x14ac:dyDescent="0.2">
      <c r="A15" s="396"/>
      <c r="B15" s="228">
        <v>2021</v>
      </c>
      <c r="C15" s="397"/>
      <c r="D15" s="419">
        <v>4060195</v>
      </c>
      <c r="E15" s="419">
        <v>2393</v>
      </c>
      <c r="F15" s="419">
        <v>5347209</v>
      </c>
      <c r="G15" s="419"/>
      <c r="H15" s="419">
        <f>12656+10028</f>
        <v>22684</v>
      </c>
      <c r="I15" s="562">
        <f>SUM(D15:H15)</f>
        <v>9432481</v>
      </c>
      <c r="J15" s="422"/>
      <c r="K15" s="419"/>
      <c r="L15" s="419">
        <v>19313002</v>
      </c>
      <c r="M15" s="419"/>
      <c r="N15" s="562">
        <f>SUM(K15:M15)</f>
        <v>19313002</v>
      </c>
      <c r="O15" s="400"/>
      <c r="P15" s="398"/>
      <c r="Q15" s="544">
        <f>I15+N15</f>
        <v>28745483</v>
      </c>
      <c r="R15" s="399"/>
      <c r="S15" s="421">
        <v>0</v>
      </c>
    </row>
    <row r="16" spans="1:22" s="428" customFormat="1" ht="12.75" thickBot="1" x14ac:dyDescent="0.25">
      <c r="A16" s="423"/>
      <c r="B16" s="424" t="s">
        <v>448</v>
      </c>
      <c r="C16" s="425"/>
      <c r="D16" s="426">
        <f>+D15/D14</f>
        <v>0.56328501477164816</v>
      </c>
      <c r="E16" s="426">
        <f>+E15/E14</f>
        <v>0.11482174559762008</v>
      </c>
      <c r="F16" s="426">
        <f>+F15/F14</f>
        <v>0.37947574214343111</v>
      </c>
      <c r="G16" s="426"/>
      <c r="H16" s="426">
        <f>+H15/H14</f>
        <v>1</v>
      </c>
      <c r="I16" s="426">
        <f>+I15/I14</f>
        <v>0.44195488907109071</v>
      </c>
      <c r="J16" s="426"/>
      <c r="K16" s="426"/>
      <c r="L16" s="426">
        <f>+L15/L14</f>
        <v>1.3560154088495215</v>
      </c>
      <c r="M16" s="426"/>
      <c r="N16" s="426">
        <f>+N15/N14</f>
        <v>1.3560154088495215</v>
      </c>
      <c r="O16" s="426"/>
      <c r="P16" s="426"/>
      <c r="Q16" s="426">
        <f>+Q15/Q14</f>
        <v>0.80779552721760106</v>
      </c>
      <c r="R16" s="427"/>
      <c r="S16" s="428">
        <v>0</v>
      </c>
    </row>
    <row r="17" spans="1:19" ht="12.75" thickBot="1" x14ac:dyDescent="0.25">
      <c r="A17" s="391" t="s">
        <v>269</v>
      </c>
      <c r="B17" s="231">
        <v>2019</v>
      </c>
      <c r="C17" s="392"/>
      <c r="D17" s="393"/>
      <c r="E17" s="393"/>
      <c r="F17" s="393"/>
      <c r="G17" s="393"/>
      <c r="H17" s="393"/>
      <c r="I17" s="557"/>
      <c r="J17" s="392"/>
      <c r="K17" s="393"/>
      <c r="L17" s="393"/>
      <c r="M17" s="393"/>
      <c r="N17" s="557"/>
      <c r="O17" s="395"/>
      <c r="P17" s="393"/>
      <c r="Q17" s="429"/>
      <c r="R17" s="420">
        <f>Q17/S17*100%</f>
        <v>0</v>
      </c>
      <c r="S17" s="421">
        <v>348592376</v>
      </c>
    </row>
    <row r="18" spans="1:19" ht="12.75" thickBot="1" x14ac:dyDescent="0.25">
      <c r="A18" s="396"/>
      <c r="B18" s="228">
        <v>2020</v>
      </c>
      <c r="C18" s="397"/>
      <c r="D18" s="398"/>
      <c r="E18" s="398"/>
      <c r="F18" s="398"/>
      <c r="G18" s="398"/>
      <c r="H18" s="398"/>
      <c r="I18" s="558"/>
      <c r="J18" s="397"/>
      <c r="K18" s="398"/>
      <c r="L18" s="398"/>
      <c r="M18" s="398"/>
      <c r="N18" s="558"/>
      <c r="O18" s="400"/>
      <c r="P18" s="398"/>
      <c r="Q18" s="419"/>
      <c r="R18" s="420">
        <f t="shared" ref="R18:R81" si="0">Q18/S18*100%</f>
        <v>0</v>
      </c>
      <c r="S18" s="421">
        <v>346984994</v>
      </c>
    </row>
    <row r="19" spans="1:19" x14ac:dyDescent="0.2">
      <c r="A19" s="396"/>
      <c r="B19" s="228">
        <v>2021</v>
      </c>
      <c r="C19" s="397"/>
      <c r="D19" s="398"/>
      <c r="E19" s="398"/>
      <c r="F19" s="398"/>
      <c r="G19" s="398"/>
      <c r="H19" s="398"/>
      <c r="I19" s="558"/>
      <c r="J19" s="397"/>
      <c r="K19" s="398"/>
      <c r="L19" s="398"/>
      <c r="M19" s="398"/>
      <c r="N19" s="558"/>
      <c r="O19" s="400"/>
      <c r="P19" s="398"/>
      <c r="Q19" s="419"/>
      <c r="R19" s="420"/>
      <c r="S19" s="421">
        <v>0</v>
      </c>
    </row>
    <row r="20" spans="1:19" s="436" customFormat="1" ht="12.75" thickBot="1" x14ac:dyDescent="0.25">
      <c r="A20" s="430"/>
      <c r="B20" s="431" t="s">
        <v>448</v>
      </c>
      <c r="C20" s="432"/>
      <c r="D20" s="433">
        <v>0</v>
      </c>
      <c r="E20" s="433"/>
      <c r="F20" s="433">
        <v>0</v>
      </c>
      <c r="G20" s="433"/>
      <c r="H20" s="433"/>
      <c r="I20" s="434"/>
      <c r="J20" s="432"/>
      <c r="K20" s="433"/>
      <c r="L20" s="433"/>
      <c r="M20" s="433"/>
      <c r="N20" s="434"/>
      <c r="O20" s="435"/>
      <c r="P20" s="433"/>
      <c r="Q20" s="433"/>
      <c r="R20" s="427"/>
      <c r="S20" s="428">
        <v>0</v>
      </c>
    </row>
    <row r="21" spans="1:19" ht="12.75" thickBot="1" x14ac:dyDescent="0.25">
      <c r="A21" s="391" t="s">
        <v>270</v>
      </c>
      <c r="B21" s="231">
        <v>2019</v>
      </c>
      <c r="C21" s="392"/>
      <c r="D21" s="417">
        <v>115220</v>
      </c>
      <c r="E21" s="417">
        <v>1122276</v>
      </c>
      <c r="F21" s="417">
        <v>969309</v>
      </c>
      <c r="G21" s="417"/>
      <c r="H21" s="417"/>
      <c r="I21" s="551">
        <f>SUM(D21:H21)</f>
        <v>2206805</v>
      </c>
      <c r="J21" s="418"/>
      <c r="K21" s="417"/>
      <c r="L21" s="417"/>
      <c r="M21" s="393"/>
      <c r="N21" s="557"/>
      <c r="O21" s="395"/>
      <c r="P21" s="393"/>
      <c r="Q21" s="429">
        <f>I21+N21</f>
        <v>2206805</v>
      </c>
      <c r="R21" s="420">
        <f>Q21/S21*100%</f>
        <v>6.330617511841395E-3</v>
      </c>
      <c r="S21" s="421">
        <v>348592376</v>
      </c>
    </row>
    <row r="22" spans="1:19" ht="12.75" thickBot="1" x14ac:dyDescent="0.25">
      <c r="A22" s="396"/>
      <c r="B22" s="228">
        <v>2020</v>
      </c>
      <c r="C22" s="397"/>
      <c r="D22" s="419">
        <v>113448</v>
      </c>
      <c r="E22" s="419">
        <v>1122276</v>
      </c>
      <c r="F22" s="419">
        <v>1007299</v>
      </c>
      <c r="G22" s="419"/>
      <c r="H22" s="419"/>
      <c r="I22" s="562">
        <f>SUM(D22:H22)</f>
        <v>2243023</v>
      </c>
      <c r="J22" s="422"/>
      <c r="K22" s="419"/>
      <c r="L22" s="419">
        <v>40000</v>
      </c>
      <c r="M22" s="398"/>
      <c r="N22" s="562">
        <f>SUM(J22:M22)</f>
        <v>40000</v>
      </c>
      <c r="O22" s="400"/>
      <c r="P22" s="398"/>
      <c r="Q22" s="429">
        <f>I22+N22</f>
        <v>2283023</v>
      </c>
      <c r="R22" s="420">
        <f>Q22/S22*100%</f>
        <v>6.5796015374659112E-3</v>
      </c>
      <c r="S22" s="421">
        <v>346984994</v>
      </c>
    </row>
    <row r="23" spans="1:19" x14ac:dyDescent="0.2">
      <c r="A23" s="396"/>
      <c r="B23" s="228">
        <v>2021</v>
      </c>
      <c r="C23" s="397"/>
      <c r="D23" s="419">
        <v>113708</v>
      </c>
      <c r="E23" s="419">
        <v>879687</v>
      </c>
      <c r="F23" s="419">
        <v>1063256</v>
      </c>
      <c r="G23" s="419"/>
      <c r="H23" s="419"/>
      <c r="I23" s="562">
        <f>SUM(D23:H23)</f>
        <v>2056651</v>
      </c>
      <c r="J23" s="422"/>
      <c r="K23" s="419"/>
      <c r="L23" s="419"/>
      <c r="M23" s="398"/>
      <c r="N23" s="558"/>
      <c r="O23" s="400"/>
      <c r="P23" s="398"/>
      <c r="Q23" s="544">
        <f>I23</f>
        <v>2056651</v>
      </c>
      <c r="R23" s="420"/>
      <c r="S23" s="421">
        <v>0</v>
      </c>
    </row>
    <row r="24" spans="1:19" s="436" customFormat="1" ht="12.75" thickBot="1" x14ac:dyDescent="0.25">
      <c r="A24" s="430"/>
      <c r="B24" s="431" t="s">
        <v>448</v>
      </c>
      <c r="C24" s="432"/>
      <c r="D24" s="433">
        <f>+D23/D22</f>
        <v>1.0022917988858331</v>
      </c>
      <c r="E24" s="433">
        <f t="shared" ref="E24:F24" si="1">+E23/E22</f>
        <v>0.78384194262373963</v>
      </c>
      <c r="F24" s="433">
        <f t="shared" si="1"/>
        <v>1.0555515293870044</v>
      </c>
      <c r="G24" s="433"/>
      <c r="H24" s="433"/>
      <c r="I24" s="407">
        <f>+I23/I22</f>
        <v>0.91691034822202</v>
      </c>
      <c r="J24" s="432"/>
      <c r="K24" s="433"/>
      <c r="L24" s="433">
        <f>+L23/L22</f>
        <v>0</v>
      </c>
      <c r="M24" s="433"/>
      <c r="N24" s="434">
        <f>+N23/N22</f>
        <v>0</v>
      </c>
      <c r="O24" s="435"/>
      <c r="P24" s="433"/>
      <c r="Q24" s="433">
        <f>+Q23/Q22</f>
        <v>0.90084550177549683</v>
      </c>
      <c r="R24" s="427"/>
      <c r="S24" s="428">
        <v>0</v>
      </c>
    </row>
    <row r="25" spans="1:19" ht="12.75" thickBot="1" x14ac:dyDescent="0.25">
      <c r="A25" s="391" t="s">
        <v>271</v>
      </c>
      <c r="B25" s="231">
        <v>2019</v>
      </c>
      <c r="C25" s="392"/>
      <c r="D25" s="393"/>
      <c r="E25" s="393"/>
      <c r="F25" s="393"/>
      <c r="G25" s="393"/>
      <c r="H25" s="393"/>
      <c r="I25" s="557"/>
      <c r="J25" s="392"/>
      <c r="K25" s="393"/>
      <c r="L25" s="393"/>
      <c r="M25" s="393"/>
      <c r="N25" s="557"/>
      <c r="O25" s="395"/>
      <c r="P25" s="393"/>
      <c r="Q25" s="429"/>
      <c r="R25" s="420">
        <f t="shared" si="0"/>
        <v>0</v>
      </c>
      <c r="S25" s="421">
        <v>348592376</v>
      </c>
    </row>
    <row r="26" spans="1:19" ht="12.75" thickBot="1" x14ac:dyDescent="0.25">
      <c r="A26" s="396"/>
      <c r="B26" s="228">
        <v>2020</v>
      </c>
      <c r="C26" s="397"/>
      <c r="D26" s="398"/>
      <c r="E26" s="398"/>
      <c r="F26" s="398"/>
      <c r="G26" s="398"/>
      <c r="H26" s="398"/>
      <c r="I26" s="558"/>
      <c r="J26" s="397"/>
      <c r="K26" s="398"/>
      <c r="L26" s="398"/>
      <c r="M26" s="398"/>
      <c r="N26" s="558"/>
      <c r="O26" s="400"/>
      <c r="P26" s="398"/>
      <c r="Q26" s="419"/>
      <c r="R26" s="420">
        <f t="shared" si="0"/>
        <v>0</v>
      </c>
      <c r="S26" s="421">
        <v>346984994</v>
      </c>
    </row>
    <row r="27" spans="1:19" x14ac:dyDescent="0.2">
      <c r="A27" s="396"/>
      <c r="B27" s="228">
        <v>2021</v>
      </c>
      <c r="C27" s="397"/>
      <c r="D27" s="398"/>
      <c r="E27" s="398"/>
      <c r="F27" s="398"/>
      <c r="G27" s="398"/>
      <c r="H27" s="398"/>
      <c r="I27" s="558"/>
      <c r="J27" s="397"/>
      <c r="K27" s="398"/>
      <c r="L27" s="398"/>
      <c r="M27" s="398"/>
      <c r="N27" s="558"/>
      <c r="O27" s="400"/>
      <c r="P27" s="398"/>
      <c r="Q27" s="419"/>
      <c r="R27" s="420"/>
      <c r="S27" s="421">
        <v>0</v>
      </c>
    </row>
    <row r="28" spans="1:19" ht="12.75" thickBot="1" x14ac:dyDescent="0.25">
      <c r="A28" s="416"/>
      <c r="B28" s="406" t="s">
        <v>448</v>
      </c>
      <c r="C28" s="407"/>
      <c r="D28" s="408">
        <v>0</v>
      </c>
      <c r="E28" s="408"/>
      <c r="F28" s="408">
        <v>0</v>
      </c>
      <c r="G28" s="408"/>
      <c r="H28" s="408"/>
      <c r="I28" s="407"/>
      <c r="J28" s="407"/>
      <c r="K28" s="408"/>
      <c r="L28" s="408"/>
      <c r="M28" s="408"/>
      <c r="N28" s="560"/>
      <c r="O28" s="410"/>
      <c r="P28" s="408"/>
      <c r="Q28" s="408"/>
      <c r="R28" s="427"/>
      <c r="S28" s="428">
        <v>0</v>
      </c>
    </row>
    <row r="29" spans="1:19" ht="12.75" thickBot="1" x14ac:dyDescent="0.25">
      <c r="A29" s="391" t="s">
        <v>272</v>
      </c>
      <c r="B29" s="231">
        <v>2019</v>
      </c>
      <c r="C29" s="392"/>
      <c r="D29" s="417">
        <v>281543</v>
      </c>
      <c r="E29" s="417"/>
      <c r="F29" s="417">
        <v>1107955</v>
      </c>
      <c r="G29" s="437"/>
      <c r="H29" s="417"/>
      <c r="I29" s="551">
        <f>SUM(D29:H29)</f>
        <v>1389498</v>
      </c>
      <c r="J29" s="418"/>
      <c r="K29" s="417"/>
      <c r="L29" s="417">
        <v>62920</v>
      </c>
      <c r="M29" s="417"/>
      <c r="N29" s="551">
        <f>SUM(K29:M29)</f>
        <v>62920</v>
      </c>
      <c r="O29" s="395"/>
      <c r="P29" s="393"/>
      <c r="Q29" s="429">
        <f>I29+N29</f>
        <v>1452418</v>
      </c>
      <c r="R29" s="420">
        <f t="shared" si="0"/>
        <v>4.1665225633047117E-3</v>
      </c>
      <c r="S29" s="421">
        <v>348592376</v>
      </c>
    </row>
    <row r="30" spans="1:19" ht="12.75" thickBot="1" x14ac:dyDescent="0.25">
      <c r="A30" s="396"/>
      <c r="B30" s="228">
        <v>2020</v>
      </c>
      <c r="C30" s="397"/>
      <c r="D30" s="419">
        <v>297706</v>
      </c>
      <c r="E30" s="419"/>
      <c r="F30" s="419">
        <v>1107955</v>
      </c>
      <c r="G30" s="419"/>
      <c r="H30" s="419"/>
      <c r="I30" s="562">
        <f>SUM(D30:H30)</f>
        <v>1405661</v>
      </c>
      <c r="J30" s="422"/>
      <c r="K30" s="419"/>
      <c r="L30" s="419"/>
      <c r="M30" s="419"/>
      <c r="N30" s="562"/>
      <c r="O30" s="400"/>
      <c r="P30" s="398"/>
      <c r="Q30" s="419">
        <f>I30+N30</f>
        <v>1405661</v>
      </c>
      <c r="R30" s="420">
        <f t="shared" si="0"/>
        <v>4.051071442011697E-3</v>
      </c>
      <c r="S30" s="421">
        <v>346984994</v>
      </c>
    </row>
    <row r="31" spans="1:19" x14ac:dyDescent="0.2">
      <c r="A31" s="396"/>
      <c r="B31" s="228">
        <v>2021</v>
      </c>
      <c r="C31" s="397"/>
      <c r="D31" s="419">
        <v>278589</v>
      </c>
      <c r="E31" s="419"/>
      <c r="F31" s="419">
        <v>771442</v>
      </c>
      <c r="G31" s="419"/>
      <c r="H31" s="419"/>
      <c r="I31" s="562">
        <f>SUM(D31:H31)</f>
        <v>1050031</v>
      </c>
      <c r="J31" s="422"/>
      <c r="K31" s="419"/>
      <c r="L31" s="419"/>
      <c r="M31" s="419"/>
      <c r="N31" s="562"/>
      <c r="O31" s="400"/>
      <c r="P31" s="398"/>
      <c r="Q31" s="544">
        <f>I31</f>
        <v>1050031</v>
      </c>
      <c r="R31" s="420"/>
      <c r="S31" s="421">
        <v>0</v>
      </c>
    </row>
    <row r="32" spans="1:19" s="436" customFormat="1" ht="12.75" thickBot="1" x14ac:dyDescent="0.25">
      <c r="A32" s="430"/>
      <c r="B32" s="431" t="s">
        <v>448</v>
      </c>
      <c r="C32" s="432"/>
      <c r="D32" s="433">
        <f>+D31/D30</f>
        <v>0.9357856408671642</v>
      </c>
      <c r="E32" s="433"/>
      <c r="F32" s="433">
        <f>+F31/F30</f>
        <v>0.69627557075874025</v>
      </c>
      <c r="G32" s="433"/>
      <c r="H32" s="433"/>
      <c r="I32" s="433">
        <f>+I31/I30</f>
        <v>0.74700158857647758</v>
      </c>
      <c r="J32" s="433"/>
      <c r="K32" s="433"/>
      <c r="L32" s="433"/>
      <c r="M32" s="433"/>
      <c r="N32" s="433">
        <v>0</v>
      </c>
      <c r="O32" s="435"/>
      <c r="P32" s="433"/>
      <c r="Q32" s="433"/>
      <c r="R32" s="427"/>
      <c r="S32" s="428">
        <v>0</v>
      </c>
    </row>
    <row r="33" spans="1:19" ht="12.75" thickBot="1" x14ac:dyDescent="0.25">
      <c r="A33" s="391" t="s">
        <v>273</v>
      </c>
      <c r="B33" s="231">
        <v>2019</v>
      </c>
      <c r="C33" s="392"/>
      <c r="D33" s="417">
        <v>111364</v>
      </c>
      <c r="E33" s="417"/>
      <c r="F33" s="417">
        <v>152423</v>
      </c>
      <c r="G33" s="417"/>
      <c r="H33" s="417"/>
      <c r="I33" s="549">
        <f>SUM(D33:H33)</f>
        <v>263787</v>
      </c>
      <c r="J33" s="392"/>
      <c r="K33" s="393"/>
      <c r="L33" s="393"/>
      <c r="M33" s="393"/>
      <c r="N33" s="557"/>
      <c r="O33" s="395"/>
      <c r="P33" s="393"/>
      <c r="Q33" s="429">
        <f>I33+N33</f>
        <v>263787</v>
      </c>
      <c r="R33" s="420">
        <f t="shared" si="0"/>
        <v>7.5672050842557725E-4</v>
      </c>
      <c r="S33" s="421">
        <v>348592376</v>
      </c>
    </row>
    <row r="34" spans="1:19" ht="12.75" thickBot="1" x14ac:dyDescent="0.25">
      <c r="A34" s="396"/>
      <c r="B34" s="228">
        <v>2020</v>
      </c>
      <c r="C34" s="397"/>
      <c r="D34" s="419">
        <v>155657</v>
      </c>
      <c r="E34" s="419"/>
      <c r="F34" s="419">
        <v>117351</v>
      </c>
      <c r="G34" s="398"/>
      <c r="H34" s="398"/>
      <c r="I34" s="562">
        <f>SUM(D34:H34)</f>
        <v>273008</v>
      </c>
      <c r="J34" s="397"/>
      <c r="K34" s="398"/>
      <c r="L34" s="398"/>
      <c r="M34" s="398"/>
      <c r="N34" s="558"/>
      <c r="O34" s="400"/>
      <c r="P34" s="398"/>
      <c r="Q34" s="419">
        <f>I34+N34</f>
        <v>273008</v>
      </c>
      <c r="R34" s="420">
        <f t="shared" si="0"/>
        <v>7.8680059576293957E-4</v>
      </c>
      <c r="S34" s="421">
        <v>346984994</v>
      </c>
    </row>
    <row r="35" spans="1:19" x14ac:dyDescent="0.2">
      <c r="A35" s="396"/>
      <c r="B35" s="228">
        <v>2021</v>
      </c>
      <c r="C35" s="401"/>
      <c r="D35" s="545">
        <v>156449</v>
      </c>
      <c r="E35" s="402"/>
      <c r="F35" s="419">
        <v>88061</v>
      </c>
      <c r="G35" s="402"/>
      <c r="H35" s="402"/>
      <c r="I35" s="562">
        <f>SUM(D35:H35)</f>
        <v>244510</v>
      </c>
      <c r="J35" s="401"/>
      <c r="K35" s="402"/>
      <c r="L35" s="402"/>
      <c r="M35" s="402"/>
      <c r="N35" s="559"/>
      <c r="O35" s="404"/>
      <c r="P35" s="402"/>
      <c r="Q35" s="544">
        <f>I35</f>
        <v>244510</v>
      </c>
      <c r="R35" s="420"/>
      <c r="S35" s="421">
        <v>0</v>
      </c>
    </row>
    <row r="36" spans="1:19" s="436" customFormat="1" ht="12.75" thickBot="1" x14ac:dyDescent="0.25">
      <c r="A36" s="438"/>
      <c r="B36" s="439" t="s">
        <v>448</v>
      </c>
      <c r="C36" s="433"/>
      <c r="D36" s="433">
        <f>+D35/D34</f>
        <v>1.0050881103965772</v>
      </c>
      <c r="E36" s="433"/>
      <c r="F36" s="433">
        <f>+F35/F34</f>
        <v>0.75040689896123591</v>
      </c>
      <c r="G36" s="433"/>
      <c r="H36" s="433"/>
      <c r="I36" s="433">
        <f>+I35/I34</f>
        <v>0.89561478051925214</v>
      </c>
      <c r="J36" s="433"/>
      <c r="K36" s="433"/>
      <c r="L36" s="433">
        <v>0</v>
      </c>
      <c r="M36" s="433"/>
      <c r="N36" s="433">
        <v>0</v>
      </c>
      <c r="O36" s="433"/>
      <c r="P36" s="433"/>
      <c r="Q36" s="433"/>
      <c r="R36" s="427"/>
      <c r="S36" s="428">
        <v>0</v>
      </c>
    </row>
    <row r="37" spans="1:19" ht="12.75" thickBot="1" x14ac:dyDescent="0.25">
      <c r="A37" s="411" t="s">
        <v>274</v>
      </c>
      <c r="B37" s="228">
        <v>2019</v>
      </c>
      <c r="C37" s="412"/>
      <c r="D37" s="440">
        <v>85498</v>
      </c>
      <c r="E37" s="440"/>
      <c r="F37" s="429">
        <v>318299</v>
      </c>
      <c r="G37" s="440"/>
      <c r="H37" s="440"/>
      <c r="I37" s="441">
        <f>SUM(D37:H37)</f>
        <v>403797</v>
      </c>
      <c r="J37" s="442"/>
      <c r="K37" s="443"/>
      <c r="L37" s="444">
        <v>57435</v>
      </c>
      <c r="M37" s="415"/>
      <c r="N37" s="563">
        <f>SUM(J37:M37)</f>
        <v>57435</v>
      </c>
      <c r="O37" s="415"/>
      <c r="P37" s="413"/>
      <c r="Q37" s="429">
        <f t="shared" ref="Q37:Q74" si="2">I37+N37</f>
        <v>461232</v>
      </c>
      <c r="R37" s="420">
        <f>Q37/S37*100%</f>
        <v>1.32312704394889E-3</v>
      </c>
      <c r="S37" s="421">
        <v>348592376</v>
      </c>
    </row>
    <row r="38" spans="1:19" ht="12.75" thickBot="1" x14ac:dyDescent="0.25">
      <c r="A38" s="396"/>
      <c r="B38" s="228">
        <v>2020</v>
      </c>
      <c r="C38" s="397"/>
      <c r="D38" s="419">
        <v>70557</v>
      </c>
      <c r="E38" s="419"/>
      <c r="F38" s="419">
        <v>256905</v>
      </c>
      <c r="G38" s="398"/>
      <c r="H38" s="419"/>
      <c r="I38" s="445">
        <f>SUM(D38:H38)</f>
        <v>327462</v>
      </c>
      <c r="J38" s="400"/>
      <c r="K38" s="398"/>
      <c r="L38" s="429">
        <v>2025</v>
      </c>
      <c r="M38" s="398"/>
      <c r="N38" s="562">
        <f>SUM(J38:M38)</f>
        <v>2025</v>
      </c>
      <c r="O38" s="400"/>
      <c r="P38" s="398"/>
      <c r="Q38" s="419">
        <f t="shared" si="2"/>
        <v>329487</v>
      </c>
      <c r="R38" s="420">
        <f t="shared" si="0"/>
        <v>9.4957132353683282E-4</v>
      </c>
      <c r="S38" s="421">
        <v>346984994</v>
      </c>
    </row>
    <row r="39" spans="1:19" x14ac:dyDescent="0.2">
      <c r="A39" s="396"/>
      <c r="B39" s="228">
        <v>2021</v>
      </c>
      <c r="C39" s="397"/>
      <c r="D39" s="419">
        <v>72317</v>
      </c>
      <c r="E39" s="398"/>
      <c r="F39" s="419">
        <v>225924</v>
      </c>
      <c r="G39" s="398"/>
      <c r="H39" s="398"/>
      <c r="I39" s="445">
        <f>SUM(D39:H39)</f>
        <v>298241</v>
      </c>
      <c r="J39" s="397"/>
      <c r="K39" s="398"/>
      <c r="L39" s="398"/>
      <c r="M39" s="398"/>
      <c r="N39" s="558"/>
      <c r="O39" s="400"/>
      <c r="P39" s="398"/>
      <c r="Q39" s="544">
        <f>I39</f>
        <v>298241</v>
      </c>
      <c r="R39" s="420"/>
      <c r="S39" s="421">
        <v>0</v>
      </c>
    </row>
    <row r="40" spans="1:19" s="436" customFormat="1" ht="12.75" thickBot="1" x14ac:dyDescent="0.25">
      <c r="A40" s="430"/>
      <c r="B40" s="431" t="s">
        <v>448</v>
      </c>
      <c r="C40" s="432"/>
      <c r="D40" s="433">
        <f>+D39/D38</f>
        <v>1.0249443712175972</v>
      </c>
      <c r="E40" s="433"/>
      <c r="F40" s="433">
        <f t="shared" ref="F40" si="3">+F39/F38</f>
        <v>0.87940678460909671</v>
      </c>
      <c r="G40" s="433"/>
      <c r="H40" s="433"/>
      <c r="I40" s="433">
        <f>+I39/I38</f>
        <v>0.91076521855971071</v>
      </c>
      <c r="J40" s="433"/>
      <c r="K40" s="433"/>
      <c r="L40" s="433">
        <f>+L39/L38</f>
        <v>0</v>
      </c>
      <c r="M40" s="433"/>
      <c r="N40" s="433">
        <f>+N39/N38</f>
        <v>0</v>
      </c>
      <c r="O40" s="435"/>
      <c r="P40" s="433"/>
      <c r="Q40" s="433"/>
      <c r="R40" s="427"/>
      <c r="S40" s="428">
        <v>0</v>
      </c>
    </row>
    <row r="41" spans="1:19" ht="12.75" thickBot="1" x14ac:dyDescent="0.25">
      <c r="A41" s="391" t="s">
        <v>275</v>
      </c>
      <c r="B41" s="231">
        <v>2019</v>
      </c>
      <c r="C41" s="392"/>
      <c r="D41" s="417">
        <v>1207125</v>
      </c>
      <c r="E41" s="417">
        <v>3759</v>
      </c>
      <c r="F41" s="417">
        <v>3102888</v>
      </c>
      <c r="G41" s="437"/>
      <c r="H41" s="417"/>
      <c r="I41" s="551">
        <f>SUM(D41:H41)</f>
        <v>4313772</v>
      </c>
      <c r="J41" s="418"/>
      <c r="K41" s="417"/>
      <c r="L41" s="417">
        <v>2527113</v>
      </c>
      <c r="M41" s="393"/>
      <c r="N41" s="551">
        <f>SUM(J41:M41)</f>
        <v>2527113</v>
      </c>
      <c r="O41" s="395"/>
      <c r="P41" s="393"/>
      <c r="Q41" s="446">
        <f t="shared" si="2"/>
        <v>6840885</v>
      </c>
      <c r="R41" s="420">
        <f>Q41/S41*100%</f>
        <v>1.9624310429554547E-2</v>
      </c>
      <c r="S41" s="421">
        <v>348592376</v>
      </c>
    </row>
    <row r="42" spans="1:19" ht="12.75" thickBot="1" x14ac:dyDescent="0.25">
      <c r="A42" s="396"/>
      <c r="B42" s="228">
        <v>2020</v>
      </c>
      <c r="C42" s="397"/>
      <c r="D42" s="419">
        <v>1250622</v>
      </c>
      <c r="E42" s="419">
        <v>3759</v>
      </c>
      <c r="F42" s="419">
        <v>3590648</v>
      </c>
      <c r="G42" s="419"/>
      <c r="H42" s="419"/>
      <c r="I42" s="551">
        <f>SUM(D42:H42)</f>
        <v>4845029</v>
      </c>
      <c r="J42" s="422"/>
      <c r="K42" s="419"/>
      <c r="L42" s="419">
        <v>10269409</v>
      </c>
      <c r="M42" s="398"/>
      <c r="N42" s="551">
        <f t="shared" ref="N42" si="4">SUM(J42:M42)</f>
        <v>10269409</v>
      </c>
      <c r="O42" s="400"/>
      <c r="P42" s="398"/>
      <c r="Q42" s="419">
        <f t="shared" si="2"/>
        <v>15114438</v>
      </c>
      <c r="R42" s="420">
        <f t="shared" si="0"/>
        <v>4.35593419351155E-2</v>
      </c>
      <c r="S42" s="421">
        <v>346984994</v>
      </c>
    </row>
    <row r="43" spans="1:19" x14ac:dyDescent="0.2">
      <c r="A43" s="396"/>
      <c r="B43" s="228">
        <v>2021</v>
      </c>
      <c r="C43" s="397"/>
      <c r="D43" s="419">
        <v>1234961</v>
      </c>
      <c r="E43" s="419"/>
      <c r="F43" s="419">
        <v>3262559</v>
      </c>
      <c r="G43" s="419"/>
      <c r="H43" s="419"/>
      <c r="I43" s="551">
        <f t="shared" ref="I43" si="5">SUM(D43:H43)</f>
        <v>4497520</v>
      </c>
      <c r="J43" s="422"/>
      <c r="K43" s="419"/>
      <c r="L43" s="419">
        <v>20664890</v>
      </c>
      <c r="M43" s="398"/>
      <c r="N43" s="551">
        <f>SUM(L43:M43)</f>
        <v>20664890</v>
      </c>
      <c r="O43" s="400"/>
      <c r="P43" s="566"/>
      <c r="Q43" s="565">
        <f>I43+N43</f>
        <v>25162410</v>
      </c>
      <c r="R43" s="420"/>
      <c r="S43" s="421">
        <v>0</v>
      </c>
    </row>
    <row r="44" spans="1:19" s="436" customFormat="1" ht="12.75" thickBot="1" x14ac:dyDescent="0.25">
      <c r="A44" s="430"/>
      <c r="B44" s="431" t="s">
        <v>448</v>
      </c>
      <c r="C44" s="432"/>
      <c r="D44" s="433">
        <f>+D43/D42</f>
        <v>0.9874774312302198</v>
      </c>
      <c r="E44" s="433">
        <f t="shared" ref="E44:F44" si="6">+E43/E42</f>
        <v>0</v>
      </c>
      <c r="F44" s="433">
        <f t="shared" si="6"/>
        <v>0.90862679939665492</v>
      </c>
      <c r="G44" s="433"/>
      <c r="H44" s="433"/>
      <c r="I44" s="433">
        <f>+I43/I42</f>
        <v>0.92827514551512491</v>
      </c>
      <c r="J44" s="433"/>
      <c r="K44" s="433"/>
      <c r="L44" s="433">
        <f>+L43/L42</f>
        <v>2.0122764610894355</v>
      </c>
      <c r="M44" s="433"/>
      <c r="N44" s="433">
        <f>+N43/N42</f>
        <v>2.0122764610894355</v>
      </c>
      <c r="O44" s="435"/>
      <c r="P44" s="433"/>
      <c r="Q44" s="433"/>
      <c r="R44" s="427"/>
      <c r="S44" s="428">
        <v>0</v>
      </c>
    </row>
    <row r="45" spans="1:19" s="550" customFormat="1" ht="12.75" thickBot="1" x14ac:dyDescent="0.25">
      <c r="A45" s="546" t="s">
        <v>276</v>
      </c>
      <c r="B45" s="547">
        <v>2019</v>
      </c>
      <c r="C45" s="548"/>
      <c r="D45" s="549">
        <v>192704</v>
      </c>
      <c r="E45" s="549"/>
      <c r="F45" s="549">
        <v>428409</v>
      </c>
      <c r="H45" s="549"/>
      <c r="I45" s="551">
        <f>SUM(D45:H45)</f>
        <v>621113</v>
      </c>
      <c r="J45" s="548"/>
      <c r="K45" s="552"/>
      <c r="L45" s="549">
        <v>58000</v>
      </c>
      <c r="M45" s="552"/>
      <c r="N45" s="551">
        <f>SUM(K45:M45)</f>
        <v>58000</v>
      </c>
      <c r="O45" s="553"/>
      <c r="P45" s="552"/>
      <c r="Q45" s="448">
        <f t="shared" si="2"/>
        <v>679113</v>
      </c>
      <c r="R45" s="554">
        <f t="shared" si="0"/>
        <v>1.9481579252897947E-3</v>
      </c>
      <c r="S45" s="555">
        <v>348592376</v>
      </c>
    </row>
    <row r="46" spans="1:19" ht="12.75" thickBot="1" x14ac:dyDescent="0.25">
      <c r="A46" s="396"/>
      <c r="B46" s="228">
        <v>2020</v>
      </c>
      <c r="C46" s="397"/>
      <c r="D46" s="417">
        <v>222834</v>
      </c>
      <c r="E46" s="398"/>
      <c r="F46" s="417">
        <v>346579</v>
      </c>
      <c r="G46" s="398"/>
      <c r="H46" s="398"/>
      <c r="I46" s="551">
        <f t="shared" ref="I46" si="7">SUM(D46:H46)</f>
        <v>569413</v>
      </c>
      <c r="J46" s="397"/>
      <c r="K46" s="398"/>
      <c r="L46" s="398"/>
      <c r="M46" s="398"/>
      <c r="N46" s="558"/>
      <c r="O46" s="400"/>
      <c r="P46" s="398"/>
      <c r="Q46" s="419">
        <f>I46</f>
        <v>569413</v>
      </c>
      <c r="R46" s="420">
        <f t="shared" si="0"/>
        <v>1.6410306204769189E-3</v>
      </c>
      <c r="S46" s="421">
        <v>346984994</v>
      </c>
    </row>
    <row r="47" spans="1:19" x14ac:dyDescent="0.2">
      <c r="A47" s="396"/>
      <c r="B47" s="228">
        <v>2021</v>
      </c>
      <c r="C47" s="397"/>
      <c r="D47" s="417">
        <v>225298</v>
      </c>
      <c r="E47" s="398"/>
      <c r="F47" s="417">
        <v>352979</v>
      </c>
      <c r="G47" s="398"/>
      <c r="H47" s="398"/>
      <c r="I47" s="551">
        <f>SUM(D47:H47)</f>
        <v>578277</v>
      </c>
      <c r="J47" s="397"/>
      <c r="K47" s="398"/>
      <c r="L47" s="398"/>
      <c r="M47" s="398"/>
      <c r="N47" s="558"/>
      <c r="O47" s="400"/>
      <c r="P47" s="566"/>
      <c r="Q47" s="565">
        <f>I47</f>
        <v>578277</v>
      </c>
      <c r="R47" s="420"/>
      <c r="S47" s="421">
        <v>0</v>
      </c>
    </row>
    <row r="48" spans="1:19" s="436" customFormat="1" ht="12.75" thickBot="1" x14ac:dyDescent="0.25">
      <c r="A48" s="430"/>
      <c r="B48" s="431" t="s">
        <v>448</v>
      </c>
      <c r="C48" s="432"/>
      <c r="D48" s="433">
        <f>+D47/D46</f>
        <v>1.0110575585413357</v>
      </c>
      <c r="E48" s="433"/>
      <c r="F48" s="433">
        <f t="shared" ref="F48" si="8">+F47/F46</f>
        <v>1.0184662082815172</v>
      </c>
      <c r="G48" s="433"/>
      <c r="H48" s="433"/>
      <c r="I48" s="433">
        <f>+I47/I46</f>
        <v>1.0155669083775749</v>
      </c>
      <c r="J48" s="433"/>
      <c r="K48" s="433"/>
      <c r="L48" s="433">
        <v>0</v>
      </c>
      <c r="M48" s="433"/>
      <c r="N48" s="433">
        <v>0</v>
      </c>
      <c r="O48" s="435"/>
      <c r="P48" s="433"/>
      <c r="Q48" s="433"/>
      <c r="R48" s="427"/>
      <c r="S48" s="428">
        <v>0</v>
      </c>
    </row>
    <row r="49" spans="1:19" ht="12.75" thickBot="1" x14ac:dyDescent="0.25">
      <c r="A49" s="391" t="s">
        <v>277</v>
      </c>
      <c r="B49" s="231">
        <v>2019</v>
      </c>
      <c r="C49" s="392"/>
      <c r="D49" s="417">
        <v>133381</v>
      </c>
      <c r="E49" s="417"/>
      <c r="F49" s="417">
        <v>240646</v>
      </c>
      <c r="G49" s="417"/>
      <c r="H49" s="417"/>
      <c r="I49" s="551">
        <f>SUM(D49:H49)</f>
        <v>374027</v>
      </c>
      <c r="J49" s="392"/>
      <c r="K49" s="393"/>
      <c r="L49" s="393"/>
      <c r="M49" s="393"/>
      <c r="N49" s="557"/>
      <c r="O49" s="395"/>
      <c r="P49" s="393"/>
      <c r="Q49" s="429">
        <f t="shared" si="2"/>
        <v>374027</v>
      </c>
      <c r="R49" s="420">
        <f t="shared" si="0"/>
        <v>1.0729637988410854E-3</v>
      </c>
      <c r="S49" s="421">
        <v>348592376</v>
      </c>
    </row>
    <row r="50" spans="1:19" ht="12.75" thickBot="1" x14ac:dyDescent="0.25">
      <c r="A50" s="396"/>
      <c r="B50" s="228">
        <v>2020</v>
      </c>
      <c r="C50" s="397"/>
      <c r="D50" s="398">
        <v>0</v>
      </c>
      <c r="E50" s="398"/>
      <c r="F50" s="417">
        <v>379300</v>
      </c>
      <c r="G50" s="398"/>
      <c r="H50" s="398"/>
      <c r="I50" s="551">
        <f t="shared" ref="I50" si="9">SUM(D50:H50)</f>
        <v>379300</v>
      </c>
      <c r="J50" s="397"/>
      <c r="K50" s="398"/>
      <c r="L50" s="398"/>
      <c r="M50" s="398"/>
      <c r="N50" s="558"/>
      <c r="O50" s="400"/>
      <c r="P50" s="398"/>
      <c r="Q50" s="419">
        <f>I50</f>
        <v>379300</v>
      </c>
      <c r="R50" s="420">
        <f t="shared" si="0"/>
        <v>1.0931308458832084E-3</v>
      </c>
      <c r="S50" s="421">
        <v>346984994</v>
      </c>
    </row>
    <row r="51" spans="1:19" x14ac:dyDescent="0.2">
      <c r="A51" s="396"/>
      <c r="B51" s="228">
        <v>2021</v>
      </c>
      <c r="C51" s="397"/>
      <c r="D51" s="417">
        <v>140124</v>
      </c>
      <c r="E51" s="398"/>
      <c r="F51" s="417">
        <v>216094</v>
      </c>
      <c r="G51" s="398"/>
      <c r="H51" s="398"/>
      <c r="I51" s="551">
        <f>SUM(D51:H51)</f>
        <v>356218</v>
      </c>
      <c r="J51" s="397"/>
      <c r="K51" s="398"/>
      <c r="L51" s="419">
        <v>285077</v>
      </c>
      <c r="M51" s="398"/>
      <c r="N51" s="562">
        <f>SUM(L51:M51)</f>
        <v>285077</v>
      </c>
      <c r="O51" s="400"/>
      <c r="P51" s="566"/>
      <c r="Q51" s="565">
        <f>I51+N51</f>
        <v>641295</v>
      </c>
      <c r="R51" s="420"/>
      <c r="S51" s="421">
        <v>0</v>
      </c>
    </row>
    <row r="52" spans="1:19" s="436" customFormat="1" ht="12.75" thickBot="1" x14ac:dyDescent="0.25">
      <c r="A52" s="430"/>
      <c r="B52" s="431" t="s">
        <v>448</v>
      </c>
      <c r="C52" s="432"/>
      <c r="D52" s="433">
        <v>0</v>
      </c>
      <c r="E52" s="433"/>
      <c r="F52" s="433">
        <f t="shared" ref="F52" si="10">+F51/F50</f>
        <v>0.56971790139731082</v>
      </c>
      <c r="G52" s="433"/>
      <c r="H52" s="433"/>
      <c r="I52" s="434">
        <f>+I51/I50</f>
        <v>0.93914579488531502</v>
      </c>
      <c r="J52" s="432"/>
      <c r="K52" s="433"/>
      <c r="L52" s="433"/>
      <c r="M52" s="433"/>
      <c r="N52" s="434"/>
      <c r="O52" s="435"/>
      <c r="P52" s="433"/>
      <c r="Q52" s="433"/>
      <c r="R52" s="427"/>
      <c r="S52" s="428">
        <v>0</v>
      </c>
    </row>
    <row r="53" spans="1:19" ht="12.75" thickBot="1" x14ac:dyDescent="0.25">
      <c r="A53" s="391" t="s">
        <v>278</v>
      </c>
      <c r="B53" s="231">
        <v>2019</v>
      </c>
      <c r="C53" s="392"/>
      <c r="E53" s="417"/>
      <c r="F53" s="417">
        <v>404136</v>
      </c>
      <c r="H53" s="417"/>
      <c r="I53" s="551">
        <f>SUM(E53:H53)</f>
        <v>404136</v>
      </c>
      <c r="J53" s="392"/>
      <c r="K53" s="393"/>
      <c r="L53" s="417">
        <v>50000</v>
      </c>
      <c r="M53" s="393"/>
      <c r="N53" s="551">
        <f>SUM(L53:M53)</f>
        <v>50000</v>
      </c>
      <c r="O53" s="395"/>
      <c r="P53" s="393"/>
      <c r="Q53" s="446">
        <f t="shared" si="2"/>
        <v>454136</v>
      </c>
      <c r="R53" s="420">
        <f t="shared" si="0"/>
        <v>1.3027708902044375E-3</v>
      </c>
      <c r="S53" s="421">
        <v>348592376</v>
      </c>
    </row>
    <row r="54" spans="1:19" ht="12.75" thickBot="1" x14ac:dyDescent="0.25">
      <c r="A54" s="396"/>
      <c r="B54" s="228">
        <v>2020</v>
      </c>
      <c r="C54" s="397"/>
      <c r="D54" s="419">
        <v>153565</v>
      </c>
      <c r="E54" s="419"/>
      <c r="F54" s="419">
        <v>216094</v>
      </c>
      <c r="G54" s="419"/>
      <c r="H54" s="419"/>
      <c r="I54" s="551">
        <f t="shared" ref="I54:I55" si="11">SUM(E54:H54)</f>
        <v>216094</v>
      </c>
      <c r="J54" s="422"/>
      <c r="K54" s="419"/>
      <c r="L54" s="419">
        <v>60000</v>
      </c>
      <c r="M54" s="419"/>
      <c r="N54" s="562">
        <f>SUM(L54:M54)</f>
        <v>60000</v>
      </c>
      <c r="O54" s="400"/>
      <c r="P54" s="398"/>
      <c r="Q54" s="419">
        <f t="shared" si="2"/>
        <v>276094</v>
      </c>
      <c r="R54" s="420">
        <f t="shared" si="0"/>
        <v>7.9569435213097434E-4</v>
      </c>
      <c r="S54" s="421">
        <v>346984994</v>
      </c>
    </row>
    <row r="55" spans="1:19" x14ac:dyDescent="0.2">
      <c r="A55" s="396"/>
      <c r="B55" s="228">
        <v>2021</v>
      </c>
      <c r="C55" s="397"/>
      <c r="D55" s="398"/>
      <c r="E55" s="398"/>
      <c r="F55" s="419">
        <v>372903</v>
      </c>
      <c r="G55" s="398"/>
      <c r="H55" s="398"/>
      <c r="I55" s="551">
        <f t="shared" si="11"/>
        <v>372903</v>
      </c>
      <c r="J55" s="397"/>
      <c r="K55" s="398"/>
      <c r="L55" s="398"/>
      <c r="M55" s="398"/>
      <c r="N55" s="558"/>
      <c r="O55" s="400"/>
      <c r="P55" s="566"/>
      <c r="Q55" s="419">
        <f>I55</f>
        <v>372903</v>
      </c>
      <c r="R55" s="420"/>
      <c r="S55" s="421">
        <v>0</v>
      </c>
    </row>
    <row r="56" spans="1:19" s="436" customFormat="1" ht="12.75" thickBot="1" x14ac:dyDescent="0.25">
      <c r="A56" s="430"/>
      <c r="B56" s="431" t="s">
        <v>448</v>
      </c>
      <c r="C56" s="432"/>
      <c r="D56" s="433">
        <f>+D55/D54</f>
        <v>0</v>
      </c>
      <c r="E56" s="433"/>
      <c r="F56" s="433">
        <f t="shared" ref="F56" si="12">+F55/F54</f>
        <v>1.7256517996797689</v>
      </c>
      <c r="G56" s="433"/>
      <c r="H56" s="433"/>
      <c r="I56" s="433">
        <f>+I55/I54</f>
        <v>1.7256517996797689</v>
      </c>
      <c r="J56" s="433"/>
      <c r="K56" s="433"/>
      <c r="L56" s="433">
        <f>+L55/L54</f>
        <v>0</v>
      </c>
      <c r="M56" s="433"/>
      <c r="N56" s="433">
        <f>+N55/N54</f>
        <v>0</v>
      </c>
      <c r="O56" s="435"/>
      <c r="P56" s="433"/>
      <c r="Q56" s="434"/>
      <c r="R56" s="427"/>
      <c r="S56" s="428">
        <v>0</v>
      </c>
    </row>
    <row r="57" spans="1:19" ht="12.75" thickBot="1" x14ac:dyDescent="0.25">
      <c r="A57" s="391" t="s">
        <v>279</v>
      </c>
      <c r="B57" s="231">
        <v>2019</v>
      </c>
      <c r="C57" s="392"/>
      <c r="D57" s="447">
        <v>69653</v>
      </c>
      <c r="E57" s="429"/>
      <c r="F57" s="429">
        <v>218150</v>
      </c>
      <c r="G57" s="429"/>
      <c r="H57" s="429"/>
      <c r="I57" s="448">
        <f>SUM(D57:H57)</f>
        <v>287803</v>
      </c>
      <c r="J57" s="449"/>
      <c r="K57" s="417"/>
      <c r="L57" s="417"/>
      <c r="M57" s="417"/>
      <c r="N57" s="557"/>
      <c r="O57" s="395"/>
      <c r="P57" s="393"/>
      <c r="Q57" s="429">
        <f t="shared" si="2"/>
        <v>287803</v>
      </c>
      <c r="R57" s="420">
        <f t="shared" si="0"/>
        <v>8.2561472887748984E-4</v>
      </c>
      <c r="S57" s="421">
        <v>348592376</v>
      </c>
    </row>
    <row r="58" spans="1:19" ht="12.75" thickBot="1" x14ac:dyDescent="0.25">
      <c r="A58" s="396"/>
      <c r="B58" s="228">
        <v>2020</v>
      </c>
      <c r="C58" s="397"/>
      <c r="D58" s="419">
        <v>78708</v>
      </c>
      <c r="E58" s="419"/>
      <c r="F58" s="419">
        <v>179249</v>
      </c>
      <c r="G58" s="419"/>
      <c r="H58" s="419"/>
      <c r="I58" s="448">
        <f t="shared" ref="I58:I59" si="13">SUM(D58:H58)</f>
        <v>257957</v>
      </c>
      <c r="J58" s="450"/>
      <c r="K58" s="419"/>
      <c r="L58" s="419"/>
      <c r="M58" s="419"/>
      <c r="N58" s="558"/>
      <c r="O58" s="400"/>
      <c r="P58" s="398"/>
      <c r="Q58" s="419">
        <f t="shared" si="2"/>
        <v>257957</v>
      </c>
      <c r="R58" s="420">
        <f t="shared" si="0"/>
        <v>7.4342408017794568E-4</v>
      </c>
      <c r="S58" s="421">
        <v>346984994</v>
      </c>
    </row>
    <row r="59" spans="1:19" x14ac:dyDescent="0.2">
      <c r="A59" s="396"/>
      <c r="B59" s="228">
        <v>2021</v>
      </c>
      <c r="C59" s="397"/>
      <c r="D59" s="419">
        <v>80381</v>
      </c>
      <c r="E59" s="419"/>
      <c r="F59" s="419">
        <v>179249</v>
      </c>
      <c r="G59" s="419"/>
      <c r="H59" s="419"/>
      <c r="I59" s="448">
        <f t="shared" si="13"/>
        <v>259630</v>
      </c>
      <c r="J59" s="422"/>
      <c r="K59" s="419"/>
      <c r="L59" s="419"/>
      <c r="M59" s="419"/>
      <c r="N59" s="558"/>
      <c r="O59" s="400"/>
      <c r="P59" s="566"/>
      <c r="Q59" s="565">
        <f>I59</f>
        <v>259630</v>
      </c>
      <c r="R59" s="420"/>
      <c r="S59" s="421">
        <v>0</v>
      </c>
    </row>
    <row r="60" spans="1:19" s="436" customFormat="1" ht="12.75" thickBot="1" x14ac:dyDescent="0.25">
      <c r="A60" s="430"/>
      <c r="B60" s="431" t="s">
        <v>448</v>
      </c>
      <c r="C60" s="432"/>
      <c r="D60" s="433">
        <f>+D59/D58</f>
        <v>1.0212557808609035</v>
      </c>
      <c r="E60" s="433"/>
      <c r="F60" s="433">
        <f t="shared" ref="F60" si="14">+F59/F58</f>
        <v>1</v>
      </c>
      <c r="G60" s="433"/>
      <c r="H60" s="433"/>
      <c r="I60" s="433">
        <f>+I59/I58</f>
        <v>1.0064855770535399</v>
      </c>
      <c r="J60" s="433"/>
      <c r="K60" s="433"/>
      <c r="L60" s="433"/>
      <c r="M60" s="433"/>
      <c r="N60" s="433"/>
      <c r="O60" s="435"/>
      <c r="P60" s="433"/>
      <c r="Q60" s="434"/>
      <c r="R60" s="427"/>
      <c r="S60" s="428">
        <v>0</v>
      </c>
    </row>
    <row r="61" spans="1:19" ht="12.75" thickBot="1" x14ac:dyDescent="0.25">
      <c r="A61" s="391" t="s">
        <v>280</v>
      </c>
      <c r="B61" s="231">
        <v>2019</v>
      </c>
      <c r="C61" s="392"/>
      <c r="D61" s="417">
        <v>1115741</v>
      </c>
      <c r="E61" s="417"/>
      <c r="F61" s="417">
        <v>2883384</v>
      </c>
      <c r="G61" s="437"/>
      <c r="H61" s="417"/>
      <c r="I61" s="551">
        <f>SUM(D61:H61)</f>
        <v>3999125</v>
      </c>
      <c r="J61" s="418"/>
      <c r="K61" s="417"/>
      <c r="L61" s="417">
        <v>40353247</v>
      </c>
      <c r="M61" s="417"/>
      <c r="N61" s="551">
        <f>SUM(L61:M61)</f>
        <v>40353247</v>
      </c>
      <c r="O61" s="395"/>
      <c r="P61" s="393"/>
      <c r="Q61" s="429">
        <f>I61+N61</f>
        <v>44352372</v>
      </c>
      <c r="R61" s="420">
        <f t="shared" si="0"/>
        <v>0.12723276541194348</v>
      </c>
      <c r="S61" s="421">
        <v>348592376</v>
      </c>
    </row>
    <row r="62" spans="1:19" ht="12.75" thickBot="1" x14ac:dyDescent="0.25">
      <c r="A62" s="396"/>
      <c r="B62" s="228">
        <v>2020</v>
      </c>
      <c r="C62" s="397"/>
      <c r="D62" s="419">
        <v>1103045</v>
      </c>
      <c r="E62" s="419">
        <v>3122</v>
      </c>
      <c r="F62" s="419">
        <v>9420726</v>
      </c>
      <c r="G62" s="419"/>
      <c r="H62" s="419"/>
      <c r="I62" s="551">
        <f>SUM(D62:H62)</f>
        <v>10526893</v>
      </c>
      <c r="J62" s="422"/>
      <c r="K62" s="419"/>
      <c r="L62" s="419">
        <v>42597885</v>
      </c>
      <c r="M62" s="419"/>
      <c r="N62" s="562">
        <f>SUM(L62:M62)</f>
        <v>42597885</v>
      </c>
      <c r="O62" s="400"/>
      <c r="P62" s="398"/>
      <c r="Q62" s="419">
        <f>I62+N62</f>
        <v>53124778</v>
      </c>
      <c r="R62" s="420">
        <f t="shared" si="0"/>
        <v>0.15310396391378239</v>
      </c>
      <c r="S62" s="421">
        <v>346984994</v>
      </c>
    </row>
    <row r="63" spans="1:19" x14ac:dyDescent="0.2">
      <c r="A63" s="396"/>
      <c r="B63" s="228">
        <v>2021</v>
      </c>
      <c r="C63" s="397"/>
      <c r="D63" s="419">
        <v>1121653</v>
      </c>
      <c r="E63" s="419">
        <v>3122</v>
      </c>
      <c r="F63" s="419">
        <v>1905670</v>
      </c>
      <c r="G63" s="419"/>
      <c r="H63" s="419"/>
      <c r="I63" s="551">
        <f>SUM(D63:H63)</f>
        <v>3030445</v>
      </c>
      <c r="J63" s="422"/>
      <c r="K63" s="419"/>
      <c r="L63" s="419">
        <v>57879711</v>
      </c>
      <c r="M63" s="419"/>
      <c r="N63" s="562">
        <f>L63</f>
        <v>57879711</v>
      </c>
      <c r="O63" s="400"/>
      <c r="P63" s="566"/>
      <c r="Q63" s="565">
        <f>I63+N63</f>
        <v>60910156</v>
      </c>
      <c r="R63" s="420"/>
      <c r="S63" s="421">
        <v>0</v>
      </c>
    </row>
    <row r="64" spans="1:19" s="436" customFormat="1" ht="12.75" thickBot="1" x14ac:dyDescent="0.25">
      <c r="A64" s="430"/>
      <c r="B64" s="431" t="s">
        <v>448</v>
      </c>
      <c r="C64" s="432"/>
      <c r="D64" s="433">
        <f>+D63/D62</f>
        <v>1.0168696653355032</v>
      </c>
      <c r="E64" s="433">
        <f t="shared" ref="E64:F64" si="15">+E63/E62</f>
        <v>1</v>
      </c>
      <c r="F64" s="433">
        <f t="shared" si="15"/>
        <v>0.20228483452336901</v>
      </c>
      <c r="G64" s="433"/>
      <c r="H64" s="433"/>
      <c r="I64" s="433">
        <f>+I63/I62</f>
        <v>0.28787648929270965</v>
      </c>
      <c r="J64" s="433"/>
      <c r="K64" s="433"/>
      <c r="L64" s="433">
        <f>+L63/L62</f>
        <v>1.3587461208461407</v>
      </c>
      <c r="M64" s="433"/>
      <c r="N64" s="433">
        <f>+N63/N62</f>
        <v>1.3587461208461407</v>
      </c>
      <c r="O64" s="435"/>
      <c r="P64" s="433"/>
      <c r="Q64" s="434"/>
      <c r="R64" s="427"/>
      <c r="S64" s="428">
        <v>0</v>
      </c>
    </row>
    <row r="65" spans="1:19" ht="12.75" thickBot="1" x14ac:dyDescent="0.25">
      <c r="A65" s="391" t="s">
        <v>281</v>
      </c>
      <c r="B65" s="231">
        <v>2019</v>
      </c>
      <c r="C65" s="392"/>
      <c r="D65" s="417"/>
      <c r="E65" s="417"/>
      <c r="F65" s="417"/>
      <c r="G65" s="437"/>
      <c r="H65" s="417"/>
      <c r="I65" s="551">
        <f>SUM(D65:H65)</f>
        <v>0</v>
      </c>
      <c r="J65" s="418"/>
      <c r="K65" s="417"/>
      <c r="L65" s="417">
        <v>2356578</v>
      </c>
      <c r="M65" s="417"/>
      <c r="N65" s="551">
        <f>SUM(L65:M65)</f>
        <v>2356578</v>
      </c>
      <c r="O65" s="395"/>
      <c r="P65" s="393"/>
      <c r="Q65" s="429">
        <f t="shared" si="2"/>
        <v>2356578</v>
      </c>
      <c r="R65" s="420">
        <f t="shared" si="0"/>
        <v>6.7602683312844459E-3</v>
      </c>
      <c r="S65" s="421">
        <v>348592376</v>
      </c>
    </row>
    <row r="66" spans="1:19" ht="12.75" thickBot="1" x14ac:dyDescent="0.25">
      <c r="A66" s="396"/>
      <c r="B66" s="228">
        <v>2020</v>
      </c>
      <c r="C66" s="397"/>
      <c r="D66" s="419"/>
      <c r="E66" s="419"/>
      <c r="F66" s="419">
        <v>203155</v>
      </c>
      <c r="G66" s="419"/>
      <c r="H66" s="419"/>
      <c r="I66" s="551">
        <f t="shared" ref="I66:I67" si="16">SUM(D66:H66)</f>
        <v>203155</v>
      </c>
      <c r="J66" s="422"/>
      <c r="K66" s="419"/>
      <c r="L66" s="419"/>
      <c r="M66" s="419"/>
      <c r="N66" s="558"/>
      <c r="O66" s="400"/>
      <c r="P66" s="398"/>
      <c r="Q66" s="419"/>
      <c r="R66" s="420">
        <f t="shared" si="0"/>
        <v>0</v>
      </c>
      <c r="S66" s="421">
        <v>346984994</v>
      </c>
    </row>
    <row r="67" spans="1:19" x14ac:dyDescent="0.2">
      <c r="A67" s="396"/>
      <c r="B67" s="228">
        <v>2021</v>
      </c>
      <c r="C67" s="397"/>
      <c r="D67" s="419"/>
      <c r="E67" s="419"/>
      <c r="F67" s="419">
        <v>203155</v>
      </c>
      <c r="G67" s="419"/>
      <c r="H67" s="419"/>
      <c r="I67" s="551">
        <f t="shared" si="16"/>
        <v>203155</v>
      </c>
      <c r="J67" s="422"/>
      <c r="K67" s="419"/>
      <c r="L67" s="419"/>
      <c r="M67" s="419"/>
      <c r="N67" s="558"/>
      <c r="O67" s="400"/>
      <c r="P67" s="566"/>
      <c r="Q67" s="565">
        <v>203155</v>
      </c>
      <c r="R67" s="420"/>
      <c r="S67" s="421">
        <v>0</v>
      </c>
    </row>
    <row r="68" spans="1:19" s="436" customFormat="1" ht="12.75" thickBot="1" x14ac:dyDescent="0.25">
      <c r="A68" s="430"/>
      <c r="B68" s="431" t="s">
        <v>448</v>
      </c>
      <c r="C68" s="432"/>
      <c r="D68" s="433">
        <v>0</v>
      </c>
      <c r="E68" s="433"/>
      <c r="F68" s="433">
        <f t="shared" ref="F68" si="17">+F67/F66</f>
        <v>1</v>
      </c>
      <c r="G68" s="433"/>
      <c r="H68" s="433"/>
      <c r="I68" s="433">
        <f>+I67/I66</f>
        <v>1</v>
      </c>
      <c r="J68" s="433"/>
      <c r="K68" s="433"/>
      <c r="L68" s="433">
        <v>0</v>
      </c>
      <c r="M68" s="433"/>
      <c r="N68" s="433">
        <v>0</v>
      </c>
      <c r="O68" s="435"/>
      <c r="P68" s="433"/>
      <c r="Q68" s="434"/>
      <c r="R68" s="427"/>
      <c r="S68" s="428">
        <v>0</v>
      </c>
    </row>
    <row r="69" spans="1:19" ht="12.75" thickBot="1" x14ac:dyDescent="0.25">
      <c r="A69" s="391" t="s">
        <v>282</v>
      </c>
      <c r="B69" s="231">
        <v>2019</v>
      </c>
      <c r="C69" s="392"/>
      <c r="D69" s="417"/>
      <c r="E69" s="417"/>
      <c r="F69" s="417">
        <v>98426</v>
      </c>
      <c r="G69" s="437"/>
      <c r="H69" s="417"/>
      <c r="I69" s="551">
        <f>SUM(D69:H69)</f>
        <v>98426</v>
      </c>
      <c r="J69" s="418"/>
      <c r="K69" s="417"/>
      <c r="L69" s="417">
        <v>68000</v>
      </c>
      <c r="M69" s="417"/>
      <c r="N69" s="551">
        <f>SUM(J69:M69)</f>
        <v>68000</v>
      </c>
      <c r="O69" s="395"/>
      <c r="P69" s="393"/>
      <c r="Q69" s="419">
        <f t="shared" si="2"/>
        <v>166426</v>
      </c>
      <c r="R69" s="420">
        <f t="shared" si="0"/>
        <v>4.7742294857303476E-4</v>
      </c>
      <c r="S69" s="421">
        <v>348592376</v>
      </c>
    </row>
    <row r="70" spans="1:19" ht="12.75" thickBot="1" x14ac:dyDescent="0.25">
      <c r="A70" s="396"/>
      <c r="B70" s="228">
        <v>2020</v>
      </c>
      <c r="C70" s="397"/>
      <c r="D70" s="419"/>
      <c r="E70" s="419"/>
      <c r="F70" s="419">
        <v>98426</v>
      </c>
      <c r="G70" s="419"/>
      <c r="H70" s="419"/>
      <c r="I70" s="551">
        <f t="shared" ref="I70:I71" si="18">SUM(D70:H70)</f>
        <v>98426</v>
      </c>
      <c r="J70" s="422"/>
      <c r="K70" s="419"/>
      <c r="L70" s="419">
        <v>3553179</v>
      </c>
      <c r="M70" s="419"/>
      <c r="N70" s="551">
        <f>SUM(J70:M70)</f>
        <v>3553179</v>
      </c>
      <c r="O70" s="400"/>
      <c r="P70" s="398"/>
      <c r="Q70" s="419">
        <f t="shared" si="2"/>
        <v>3651605</v>
      </c>
      <c r="R70" s="420">
        <f t="shared" si="0"/>
        <v>1.0523812450517672E-2</v>
      </c>
      <c r="S70" s="421">
        <v>346984994</v>
      </c>
    </row>
    <row r="71" spans="1:19" x14ac:dyDescent="0.2">
      <c r="A71" s="396"/>
      <c r="B71" s="228">
        <v>2021</v>
      </c>
      <c r="C71" s="397"/>
      <c r="D71" s="419"/>
      <c r="E71" s="419"/>
      <c r="F71" s="419">
        <v>98426</v>
      </c>
      <c r="G71" s="419"/>
      <c r="H71" s="419"/>
      <c r="I71" s="551">
        <f t="shared" si="18"/>
        <v>98426</v>
      </c>
      <c r="J71" s="422"/>
      <c r="K71" s="419"/>
      <c r="L71" s="419"/>
      <c r="M71" s="419"/>
      <c r="N71" s="558"/>
      <c r="O71" s="400"/>
      <c r="P71" s="398"/>
      <c r="Q71" s="544">
        <f>I71</f>
        <v>98426</v>
      </c>
      <c r="R71" s="420"/>
      <c r="S71" s="421">
        <v>0</v>
      </c>
    </row>
    <row r="72" spans="1:19" s="436" customFormat="1" ht="12.75" thickBot="1" x14ac:dyDescent="0.25">
      <c r="A72" s="430"/>
      <c r="B72" s="431" t="s">
        <v>448</v>
      </c>
      <c r="C72" s="432"/>
      <c r="D72" s="433">
        <v>0</v>
      </c>
      <c r="E72" s="433"/>
      <c r="F72" s="433">
        <f t="shared" ref="F72" si="19">+F71/F70</f>
        <v>1</v>
      </c>
      <c r="G72" s="433"/>
      <c r="H72" s="433"/>
      <c r="I72" s="433">
        <f>+I71/I70</f>
        <v>1</v>
      </c>
      <c r="J72" s="433"/>
      <c r="K72" s="433"/>
      <c r="L72" s="433">
        <f>+L71/L70</f>
        <v>0</v>
      </c>
      <c r="M72" s="433"/>
      <c r="N72" s="433">
        <f>+N71/N70</f>
        <v>0</v>
      </c>
      <c r="O72" s="435"/>
      <c r="P72" s="433"/>
      <c r="Q72" s="433"/>
      <c r="R72" s="427"/>
      <c r="S72" s="428">
        <v>0</v>
      </c>
    </row>
    <row r="73" spans="1:19" ht="12.75" thickBot="1" x14ac:dyDescent="0.25">
      <c r="A73" s="391" t="s">
        <v>812</v>
      </c>
      <c r="B73" s="231">
        <v>2019</v>
      </c>
      <c r="C73" s="392"/>
      <c r="D73" s="393"/>
      <c r="E73" s="393"/>
      <c r="F73" s="417">
        <v>602364</v>
      </c>
      <c r="H73" s="417"/>
      <c r="I73" s="551">
        <f>SUM(D73:H73)</f>
        <v>602364</v>
      </c>
      <c r="J73" s="392"/>
      <c r="K73" s="393"/>
      <c r="L73" s="417">
        <v>2653583</v>
      </c>
      <c r="M73" s="393"/>
      <c r="N73" s="551">
        <f>SUM(L73:M73)</f>
        <v>2653583</v>
      </c>
      <c r="O73" s="395"/>
      <c r="P73" s="393"/>
      <c r="Q73" s="419">
        <f t="shared" si="2"/>
        <v>3255947</v>
      </c>
      <c r="R73" s="420">
        <f t="shared" si="0"/>
        <v>9.3402702530705952E-3</v>
      </c>
      <c r="S73" s="421">
        <v>348592376</v>
      </c>
    </row>
    <row r="74" spans="1:19" ht="12.75" thickBot="1" x14ac:dyDescent="0.25">
      <c r="A74" s="396"/>
      <c r="B74" s="228">
        <v>2020</v>
      </c>
      <c r="C74" s="397"/>
      <c r="D74" s="398"/>
      <c r="E74" s="398"/>
      <c r="F74" s="419">
        <v>769243</v>
      </c>
      <c r="G74" s="419"/>
      <c r="H74" s="419"/>
      <c r="I74" s="551">
        <f t="shared" ref="I74:I75" si="20">SUM(D74:H74)</f>
        <v>769243</v>
      </c>
      <c r="J74" s="422"/>
      <c r="K74" s="419"/>
      <c r="L74" s="419">
        <v>645873</v>
      </c>
      <c r="M74" s="398"/>
      <c r="N74" s="562">
        <f>SUM(L74:M74)</f>
        <v>645873</v>
      </c>
      <c r="O74" s="400"/>
      <c r="P74" s="398"/>
      <c r="Q74" s="419">
        <f t="shared" si="2"/>
        <v>1415116</v>
      </c>
      <c r="R74" s="420">
        <f t="shared" si="0"/>
        <v>4.0783204590109741E-3</v>
      </c>
      <c r="S74" s="421">
        <v>346984994</v>
      </c>
    </row>
    <row r="75" spans="1:19" x14ac:dyDescent="0.2">
      <c r="A75" s="396"/>
      <c r="B75" s="228">
        <v>2021</v>
      </c>
      <c r="C75" s="397"/>
      <c r="D75" s="398"/>
      <c r="E75" s="398"/>
      <c r="F75" s="419">
        <v>906448</v>
      </c>
      <c r="G75" s="398"/>
      <c r="H75" s="398"/>
      <c r="I75" s="551">
        <f t="shared" si="20"/>
        <v>906448</v>
      </c>
      <c r="J75" s="397"/>
      <c r="K75" s="398"/>
      <c r="L75" s="419">
        <v>333122</v>
      </c>
      <c r="M75" s="398"/>
      <c r="N75" s="562">
        <f>L75</f>
        <v>333122</v>
      </c>
      <c r="O75" s="400"/>
      <c r="P75" s="566"/>
      <c r="Q75" s="565">
        <f>I75+N75</f>
        <v>1239570</v>
      </c>
      <c r="R75" s="420"/>
      <c r="S75" s="421">
        <v>0</v>
      </c>
    </row>
    <row r="76" spans="1:19" s="436" customFormat="1" ht="12.75" thickBot="1" x14ac:dyDescent="0.25">
      <c r="A76" s="430"/>
      <c r="B76" s="431" t="s">
        <v>448</v>
      </c>
      <c r="C76" s="432"/>
      <c r="D76" s="433">
        <v>0</v>
      </c>
      <c r="E76" s="433"/>
      <c r="F76" s="433">
        <f t="shared" ref="F76" si="21">+F75/F74</f>
        <v>1.1783636640177422</v>
      </c>
      <c r="G76" s="433"/>
      <c r="H76" s="433"/>
      <c r="I76" s="433">
        <f>+I75/I74</f>
        <v>1.1783636640177422</v>
      </c>
      <c r="J76" s="433"/>
      <c r="K76" s="433"/>
      <c r="L76" s="433">
        <f>+L75/L74</f>
        <v>0.51577012818309487</v>
      </c>
      <c r="M76" s="433"/>
      <c r="N76" s="433">
        <f>+N75/N74</f>
        <v>0.51577012818309487</v>
      </c>
      <c r="O76" s="435"/>
      <c r="P76" s="433"/>
      <c r="Q76" s="433"/>
      <c r="R76" s="427"/>
      <c r="S76" s="428">
        <v>0</v>
      </c>
    </row>
    <row r="77" spans="1:19" ht="12.75" thickBot="1" x14ac:dyDescent="0.25">
      <c r="A77" s="391" t="s">
        <v>283</v>
      </c>
      <c r="B77" s="231">
        <v>2019</v>
      </c>
      <c r="C77" s="392"/>
      <c r="D77" s="417">
        <v>48841</v>
      </c>
      <c r="E77" s="417"/>
      <c r="F77" s="417">
        <v>987139</v>
      </c>
      <c r="G77" s="417"/>
      <c r="H77" s="417"/>
      <c r="I77" s="551">
        <f>SUM(D77:H77)</f>
        <v>1035980</v>
      </c>
      <c r="J77" s="418"/>
      <c r="K77" s="417"/>
      <c r="L77" s="417"/>
      <c r="M77" s="393"/>
      <c r="N77" s="557"/>
      <c r="O77" s="395"/>
      <c r="P77" s="393"/>
      <c r="Q77" s="419">
        <f>I77+N77</f>
        <v>1035980</v>
      </c>
      <c r="R77" s="420">
        <f t="shared" si="0"/>
        <v>2.9718951742077112E-3</v>
      </c>
      <c r="S77" s="421">
        <v>348592376</v>
      </c>
    </row>
    <row r="78" spans="1:19" ht="12.75" thickBot="1" x14ac:dyDescent="0.25">
      <c r="A78" s="396"/>
      <c r="B78" s="228">
        <v>2020</v>
      </c>
      <c r="C78" s="397"/>
      <c r="D78" s="419">
        <v>53791</v>
      </c>
      <c r="E78" s="419"/>
      <c r="F78" s="419">
        <v>801337</v>
      </c>
      <c r="G78" s="419"/>
      <c r="H78" s="419"/>
      <c r="I78" s="551">
        <f>SUM(D78:H78)</f>
        <v>855128</v>
      </c>
      <c r="J78" s="422"/>
      <c r="K78" s="419"/>
      <c r="L78" s="419"/>
      <c r="M78" s="398"/>
      <c r="N78" s="558"/>
      <c r="O78" s="400"/>
      <c r="P78" s="398"/>
      <c r="Q78" s="419"/>
      <c r="R78" s="420">
        <f t="shared" si="0"/>
        <v>0</v>
      </c>
      <c r="S78" s="421">
        <v>346984994</v>
      </c>
    </row>
    <row r="79" spans="1:19" x14ac:dyDescent="0.2">
      <c r="A79" s="396"/>
      <c r="B79" s="228">
        <v>2021</v>
      </c>
      <c r="C79" s="397"/>
      <c r="D79" s="419">
        <v>53117</v>
      </c>
      <c r="E79" s="398"/>
      <c r="F79" s="419">
        <v>801337</v>
      </c>
      <c r="G79" s="398"/>
      <c r="H79" s="398"/>
      <c r="I79" s="551">
        <f>SUM(D79:H79)</f>
        <v>854454</v>
      </c>
      <c r="J79" s="397"/>
      <c r="K79" s="398"/>
      <c r="L79" s="398"/>
      <c r="M79" s="398"/>
      <c r="N79" s="558"/>
      <c r="O79" s="400"/>
      <c r="P79" s="398"/>
      <c r="Q79" s="544">
        <f>I79</f>
        <v>854454</v>
      </c>
      <c r="R79" s="420"/>
      <c r="S79" s="421">
        <v>0</v>
      </c>
    </row>
    <row r="80" spans="1:19" s="436" customFormat="1" ht="12.75" thickBot="1" x14ac:dyDescent="0.25">
      <c r="A80" s="430"/>
      <c r="B80" s="431" t="s">
        <v>448</v>
      </c>
      <c r="C80" s="432"/>
      <c r="D80" s="433">
        <f>+D79/D78</f>
        <v>0.98747002286627872</v>
      </c>
      <c r="E80" s="433"/>
      <c r="F80" s="433">
        <f t="shared" ref="F80" si="22">+F79/F78</f>
        <v>1</v>
      </c>
      <c r="G80" s="433"/>
      <c r="H80" s="433"/>
      <c r="I80" s="433">
        <f>+I79/I78</f>
        <v>0.99921181390388336</v>
      </c>
      <c r="J80" s="433"/>
      <c r="K80" s="433"/>
      <c r="L80" s="433"/>
      <c r="M80" s="433"/>
      <c r="N80" s="433"/>
      <c r="O80" s="435"/>
      <c r="P80" s="433"/>
      <c r="Q80" s="434"/>
      <c r="R80" s="427"/>
      <c r="S80" s="428">
        <v>0</v>
      </c>
    </row>
    <row r="81" spans="1:19" ht="12.75" thickBot="1" x14ac:dyDescent="0.25">
      <c r="A81" s="391" t="s">
        <v>284</v>
      </c>
      <c r="B81" s="231">
        <v>2019</v>
      </c>
      <c r="C81" s="392"/>
      <c r="D81" s="447">
        <v>48955236</v>
      </c>
      <c r="E81" s="451">
        <v>15176</v>
      </c>
      <c r="F81" s="452">
        <v>27005030</v>
      </c>
      <c r="G81" s="448"/>
      <c r="H81" s="453">
        <v>1587615</v>
      </c>
      <c r="I81" s="448">
        <f>SUM(D81:H81)</f>
        <v>77563057</v>
      </c>
      <c r="J81" s="448"/>
      <c r="K81" s="448"/>
      <c r="L81" s="452">
        <v>2502976</v>
      </c>
      <c r="M81" s="429"/>
      <c r="N81" s="564">
        <f>SUM(L81:M81)</f>
        <v>2502976</v>
      </c>
      <c r="O81" s="454"/>
      <c r="P81" s="417"/>
      <c r="Q81" s="419">
        <f>I81+N81</f>
        <v>80066033</v>
      </c>
      <c r="R81" s="420">
        <f t="shared" si="0"/>
        <v>0.22968383278697982</v>
      </c>
      <c r="S81" s="421">
        <v>348592376</v>
      </c>
    </row>
    <row r="82" spans="1:19" ht="12.75" thickBot="1" x14ac:dyDescent="0.25">
      <c r="A82" s="396"/>
      <c r="B82" s="228">
        <v>2020</v>
      </c>
      <c r="C82" s="397"/>
      <c r="D82" s="429">
        <v>49318039</v>
      </c>
      <c r="E82" s="451">
        <v>1531</v>
      </c>
      <c r="F82" s="419">
        <v>23898288</v>
      </c>
      <c r="G82" s="419"/>
      <c r="H82" s="419">
        <v>1343630</v>
      </c>
      <c r="I82" s="445">
        <f>SUM(D82:H82)</f>
        <v>74561488</v>
      </c>
      <c r="J82" s="419"/>
      <c r="K82" s="419"/>
      <c r="L82" s="419">
        <v>176862</v>
      </c>
      <c r="M82" s="419"/>
      <c r="N82" s="562">
        <f>SUM(L82:M82)</f>
        <v>176862</v>
      </c>
      <c r="O82" s="450"/>
      <c r="P82" s="419"/>
      <c r="Q82" s="419">
        <f>I82+N82</f>
        <v>74738350</v>
      </c>
      <c r="R82" s="420">
        <f t="shared" ref="R82:R106" si="23">Q82/S82*100%</f>
        <v>0.21539360863542129</v>
      </c>
      <c r="S82" s="421">
        <v>346984994</v>
      </c>
    </row>
    <row r="83" spans="1:19" x14ac:dyDescent="0.2">
      <c r="A83" s="396"/>
      <c r="B83" s="228">
        <v>2021</v>
      </c>
      <c r="C83" s="397"/>
      <c r="D83" s="419">
        <v>52415475</v>
      </c>
      <c r="E83" s="419">
        <v>1531</v>
      </c>
      <c r="F83" s="419">
        <v>26694448</v>
      </c>
      <c r="G83" s="398"/>
      <c r="H83" s="419">
        <v>1343630</v>
      </c>
      <c r="I83" s="445">
        <f>SUM(D83:H83)</f>
        <v>80455084</v>
      </c>
      <c r="J83" s="397"/>
      <c r="K83" s="398"/>
      <c r="L83" s="419">
        <v>365125</v>
      </c>
      <c r="M83" s="419"/>
      <c r="N83" s="562">
        <f>SUM(L83:M83)</f>
        <v>365125</v>
      </c>
      <c r="O83" s="400"/>
      <c r="P83" s="566"/>
      <c r="Q83" s="565">
        <f>I83+N83</f>
        <v>80820209</v>
      </c>
      <c r="R83" s="420"/>
      <c r="S83" s="421">
        <v>0</v>
      </c>
    </row>
    <row r="84" spans="1:19" s="436" customFormat="1" ht="12.75" thickBot="1" x14ac:dyDescent="0.25">
      <c r="A84" s="430"/>
      <c r="B84" s="431" t="s">
        <v>448</v>
      </c>
      <c r="C84" s="432"/>
      <c r="D84" s="433">
        <f>+D83/D82</f>
        <v>1.0628053357920415</v>
      </c>
      <c r="E84" s="433">
        <f t="shared" ref="E84:H84" si="24">+E83/E82</f>
        <v>1</v>
      </c>
      <c r="F84" s="433">
        <f>+F83/F82</f>
        <v>1.1170025233606691</v>
      </c>
      <c r="G84" s="433"/>
      <c r="H84" s="433">
        <f t="shared" si="24"/>
        <v>1</v>
      </c>
      <c r="I84" s="433">
        <f>+I83/I82</f>
        <v>1.0790434332533707</v>
      </c>
      <c r="J84" s="433"/>
      <c r="K84" s="433"/>
      <c r="L84" s="433">
        <f>+L83/L82</f>
        <v>2.0644626884237427</v>
      </c>
      <c r="M84" s="433"/>
      <c r="N84" s="433">
        <f>+N83/N82</f>
        <v>2.0644626884237427</v>
      </c>
      <c r="O84" s="435"/>
      <c r="P84" s="433"/>
      <c r="Q84" s="433"/>
      <c r="R84" s="427"/>
      <c r="S84" s="428">
        <v>0</v>
      </c>
    </row>
    <row r="85" spans="1:19" ht="12.75" thickBot="1" x14ac:dyDescent="0.25">
      <c r="A85" s="391" t="s">
        <v>285</v>
      </c>
      <c r="B85" s="231">
        <v>2019</v>
      </c>
      <c r="C85" s="392"/>
      <c r="D85" s="393"/>
      <c r="E85" s="393"/>
      <c r="F85" s="393"/>
      <c r="G85" s="393"/>
      <c r="H85" s="393"/>
      <c r="I85" s="557"/>
      <c r="J85" s="392"/>
      <c r="K85" s="393"/>
      <c r="L85" s="417">
        <v>213860</v>
      </c>
      <c r="M85" s="417"/>
      <c r="N85" s="551">
        <f>SUM(L85:M85)</f>
        <v>213860</v>
      </c>
      <c r="O85" s="449"/>
      <c r="P85" s="417"/>
      <c r="Q85" s="429">
        <f t="shared" ref="Q85:Q90" si="25">I85+N85</f>
        <v>213860</v>
      </c>
      <c r="R85" s="420">
        <f>Q85/S85*100%</f>
        <v>6.1349591879771915E-4</v>
      </c>
      <c r="S85" s="421">
        <v>348592376</v>
      </c>
    </row>
    <row r="86" spans="1:19" ht="12.75" thickBot="1" x14ac:dyDescent="0.25">
      <c r="A86" s="396"/>
      <c r="B86" s="228">
        <v>2020</v>
      </c>
      <c r="C86" s="397"/>
      <c r="D86" s="398"/>
      <c r="E86" s="398"/>
      <c r="F86" s="398"/>
      <c r="G86" s="398"/>
      <c r="H86" s="398"/>
      <c r="I86" s="558"/>
      <c r="J86" s="397"/>
      <c r="K86" s="398"/>
      <c r="L86" s="398"/>
      <c r="M86" s="398"/>
      <c r="N86" s="558"/>
      <c r="O86" s="400"/>
      <c r="P86" s="398"/>
      <c r="Q86" s="419"/>
      <c r="R86" s="420">
        <f t="shared" si="23"/>
        <v>0</v>
      </c>
      <c r="S86" s="421">
        <v>346984994</v>
      </c>
    </row>
    <row r="87" spans="1:19" x14ac:dyDescent="0.2">
      <c r="A87" s="396"/>
      <c r="B87" s="228">
        <v>2021</v>
      </c>
      <c r="C87" s="397"/>
      <c r="D87" s="398"/>
      <c r="E87" s="398"/>
      <c r="F87" s="398"/>
      <c r="G87" s="398"/>
      <c r="H87" s="398"/>
      <c r="I87" s="558"/>
      <c r="J87" s="397"/>
      <c r="K87" s="398"/>
      <c r="L87" s="398"/>
      <c r="M87" s="398"/>
      <c r="N87" s="558"/>
      <c r="O87" s="400"/>
      <c r="P87" s="398"/>
      <c r="Q87" s="419"/>
      <c r="R87" s="420"/>
      <c r="S87" s="421">
        <v>0</v>
      </c>
    </row>
    <row r="88" spans="1:19" s="436" customFormat="1" ht="12.75" thickBot="1" x14ac:dyDescent="0.25">
      <c r="A88" s="430"/>
      <c r="B88" s="431" t="s">
        <v>448</v>
      </c>
      <c r="C88" s="432"/>
      <c r="D88" s="433">
        <v>0</v>
      </c>
      <c r="E88" s="433"/>
      <c r="F88" s="433">
        <v>0</v>
      </c>
      <c r="G88" s="433"/>
      <c r="H88" s="433"/>
      <c r="I88" s="433"/>
      <c r="J88" s="433"/>
      <c r="K88" s="433"/>
      <c r="L88" s="433">
        <v>0</v>
      </c>
      <c r="M88" s="433"/>
      <c r="N88" s="433">
        <v>0</v>
      </c>
      <c r="O88" s="433"/>
      <c r="P88" s="433"/>
      <c r="Q88" s="433"/>
      <c r="R88" s="427"/>
      <c r="S88" s="428">
        <v>0</v>
      </c>
    </row>
    <row r="89" spans="1:19" ht="12.75" thickBot="1" x14ac:dyDescent="0.25">
      <c r="A89" s="391" t="s">
        <v>286</v>
      </c>
      <c r="B89" s="231">
        <v>2019</v>
      </c>
      <c r="C89" s="392"/>
      <c r="D89" s="417">
        <v>86951540</v>
      </c>
      <c r="E89" s="417"/>
      <c r="F89" s="417">
        <v>14342353</v>
      </c>
      <c r="G89" s="417"/>
      <c r="H89" s="417"/>
      <c r="I89" s="551">
        <f>SUM(D89:H89)</f>
        <v>101293893</v>
      </c>
      <c r="J89" s="418"/>
      <c r="K89" s="417"/>
      <c r="L89" s="417">
        <v>59596243</v>
      </c>
      <c r="M89" s="417"/>
      <c r="N89" s="551">
        <f>SUM(L89:M89)</f>
        <v>59596243</v>
      </c>
      <c r="O89" s="449"/>
      <c r="P89" s="417"/>
      <c r="Q89" s="429">
        <f t="shared" si="25"/>
        <v>160890136</v>
      </c>
      <c r="R89" s="420">
        <f t="shared" si="23"/>
        <v>0.46154232587117738</v>
      </c>
      <c r="S89" s="421">
        <v>348592376</v>
      </c>
    </row>
    <row r="90" spans="1:19" ht="12.75" thickBot="1" x14ac:dyDescent="0.25">
      <c r="A90" s="396"/>
      <c r="B90" s="228">
        <v>2020</v>
      </c>
      <c r="C90" s="397"/>
      <c r="D90" s="419">
        <v>96083539</v>
      </c>
      <c r="E90" s="419"/>
      <c r="F90" s="419">
        <v>11246571</v>
      </c>
      <c r="G90" s="419"/>
      <c r="H90" s="419"/>
      <c r="I90" s="562">
        <f>SUM(D90:H90)</f>
        <v>107330110</v>
      </c>
      <c r="J90" s="422"/>
      <c r="K90" s="419"/>
      <c r="L90" s="419">
        <v>45123334</v>
      </c>
      <c r="M90" s="419"/>
      <c r="N90" s="562">
        <f>SUM(L90:M90)</f>
        <v>45123334</v>
      </c>
      <c r="O90" s="450"/>
      <c r="P90" s="419"/>
      <c r="Q90" s="419">
        <f t="shared" si="25"/>
        <v>152453444</v>
      </c>
      <c r="R90" s="420">
        <f t="shared" si="23"/>
        <v>0.43936610123260833</v>
      </c>
      <c r="S90" s="421">
        <v>346984994</v>
      </c>
    </row>
    <row r="91" spans="1:19" x14ac:dyDescent="0.2">
      <c r="A91" s="396"/>
      <c r="B91" s="228">
        <v>2021</v>
      </c>
      <c r="C91" s="397"/>
      <c r="D91" s="419">
        <v>108260199</v>
      </c>
      <c r="E91" s="419">
        <v>108000</v>
      </c>
      <c r="F91" s="419">
        <v>7545040</v>
      </c>
      <c r="G91" s="419"/>
      <c r="H91" s="419"/>
      <c r="I91" s="562">
        <f>SUM(D91:H91)</f>
        <v>115913239</v>
      </c>
      <c r="J91" s="422"/>
      <c r="K91" s="419"/>
      <c r="L91" s="419">
        <v>37876029</v>
      </c>
      <c r="M91" s="419"/>
      <c r="N91" s="562">
        <f>L91</f>
        <v>37876029</v>
      </c>
      <c r="O91" s="450"/>
      <c r="P91" s="544"/>
      <c r="Q91" s="565">
        <f>I91+N91</f>
        <v>153789268</v>
      </c>
      <c r="R91" s="420"/>
      <c r="S91" s="421">
        <v>0</v>
      </c>
    </row>
    <row r="92" spans="1:19" s="436" customFormat="1" ht="12.75" thickBot="1" x14ac:dyDescent="0.25">
      <c r="A92" s="430"/>
      <c r="B92" s="431" t="s">
        <v>448</v>
      </c>
      <c r="C92" s="432"/>
      <c r="D92" s="433">
        <f>+D91/D90</f>
        <v>1.1267299282138223</v>
      </c>
      <c r="E92" s="433"/>
      <c r="F92" s="433">
        <f t="shared" ref="F92" si="26">+F91/F90</f>
        <v>0.67087470483225509</v>
      </c>
      <c r="G92" s="433"/>
      <c r="H92" s="433"/>
      <c r="I92" s="433">
        <f>+I91/I90</f>
        <v>1.0799694419394521</v>
      </c>
      <c r="J92" s="433"/>
      <c r="K92" s="433"/>
      <c r="L92" s="433">
        <f>+L91/L90</f>
        <v>0.83938897334137585</v>
      </c>
      <c r="M92" s="433"/>
      <c r="N92" s="433">
        <f>+N91/N90</f>
        <v>0.83938897334137585</v>
      </c>
      <c r="O92" s="435"/>
      <c r="P92" s="433"/>
      <c r="Q92" s="433"/>
      <c r="R92" s="427"/>
      <c r="S92" s="428">
        <v>0</v>
      </c>
    </row>
    <row r="93" spans="1:19" ht="12.75" thickBot="1" x14ac:dyDescent="0.25">
      <c r="A93" s="391" t="s">
        <v>287</v>
      </c>
      <c r="B93" s="231">
        <v>2019</v>
      </c>
      <c r="C93" s="392"/>
      <c r="D93" s="417">
        <v>83018</v>
      </c>
      <c r="E93" s="417"/>
      <c r="F93" s="417">
        <v>403980</v>
      </c>
      <c r="G93" s="417"/>
      <c r="H93" s="417"/>
      <c r="I93" s="551">
        <f>SUM(D93:H93)</f>
        <v>486998</v>
      </c>
      <c r="J93" s="418"/>
      <c r="K93" s="417"/>
      <c r="L93" s="417"/>
      <c r="M93" s="417"/>
      <c r="N93" s="551"/>
      <c r="O93" s="449"/>
      <c r="P93" s="417"/>
      <c r="Q93" s="429">
        <f>I93+N93</f>
        <v>486998</v>
      </c>
      <c r="R93" s="420">
        <f t="shared" si="23"/>
        <v>1.397041454515345E-3</v>
      </c>
      <c r="S93" s="421">
        <v>348592376</v>
      </c>
    </row>
    <row r="94" spans="1:19" ht="12.75" thickBot="1" x14ac:dyDescent="0.25">
      <c r="A94" s="396"/>
      <c r="B94" s="228">
        <v>2020</v>
      </c>
      <c r="C94" s="397"/>
      <c r="D94" s="419">
        <v>78786</v>
      </c>
      <c r="E94" s="419"/>
      <c r="F94" s="419">
        <v>286444</v>
      </c>
      <c r="G94" s="419"/>
      <c r="H94" s="419"/>
      <c r="I94" s="562">
        <f>SUM(D94:H94)</f>
        <v>365230</v>
      </c>
      <c r="J94" s="422"/>
      <c r="K94" s="419"/>
      <c r="L94" s="419"/>
      <c r="M94" s="419"/>
      <c r="N94" s="562"/>
      <c r="O94" s="450"/>
      <c r="P94" s="419"/>
      <c r="Q94" s="419">
        <f>I94+N94</f>
        <v>365230</v>
      </c>
      <c r="R94" s="420">
        <f t="shared" si="23"/>
        <v>1.0525815418980337E-3</v>
      </c>
      <c r="S94" s="421">
        <v>346984994</v>
      </c>
    </row>
    <row r="95" spans="1:19" x14ac:dyDescent="0.2">
      <c r="A95" s="396"/>
      <c r="B95" s="228">
        <v>2021</v>
      </c>
      <c r="C95" s="397"/>
      <c r="D95" s="419">
        <v>79046</v>
      </c>
      <c r="E95" s="419"/>
      <c r="F95" s="419">
        <v>1747444</v>
      </c>
      <c r="G95" s="419"/>
      <c r="H95" s="419"/>
      <c r="I95" s="562">
        <f>SUM(D95:H95)</f>
        <v>1826490</v>
      </c>
      <c r="J95" s="422"/>
      <c r="K95" s="419"/>
      <c r="L95" s="419"/>
      <c r="M95" s="419"/>
      <c r="N95" s="562"/>
      <c r="O95" s="450"/>
      <c r="P95" s="419"/>
      <c r="Q95" s="544">
        <f>I95</f>
        <v>1826490</v>
      </c>
      <c r="R95" s="420"/>
      <c r="S95" s="421">
        <v>0</v>
      </c>
    </row>
    <row r="96" spans="1:19" s="436" customFormat="1" ht="12.75" thickBot="1" x14ac:dyDescent="0.25">
      <c r="A96" s="430"/>
      <c r="B96" s="431" t="s">
        <v>448</v>
      </c>
      <c r="C96" s="432"/>
      <c r="D96" s="433">
        <f>+D95/D94</f>
        <v>1.0033000786941841</v>
      </c>
      <c r="E96" s="433"/>
      <c r="F96" s="433">
        <f t="shared" ref="F96" si="27">+F95/F94</f>
        <v>6.1004733909594897</v>
      </c>
      <c r="G96" s="433"/>
      <c r="H96" s="433"/>
      <c r="I96" s="433">
        <f>+I95/I94</f>
        <v>5.0009309202420393</v>
      </c>
      <c r="J96" s="433"/>
      <c r="K96" s="433"/>
      <c r="L96" s="433"/>
      <c r="M96" s="433"/>
      <c r="N96" s="433"/>
      <c r="O96" s="435"/>
      <c r="P96" s="433"/>
      <c r="Q96" s="433"/>
      <c r="R96" s="427"/>
      <c r="S96" s="428">
        <v>0</v>
      </c>
    </row>
    <row r="97" spans="1:19" ht="12.75" thickBot="1" x14ac:dyDescent="0.25">
      <c r="A97" s="391" t="s">
        <v>288</v>
      </c>
      <c r="B97" s="231">
        <v>2019</v>
      </c>
      <c r="C97" s="392"/>
      <c r="D97" s="417"/>
      <c r="E97" s="417">
        <v>5333065</v>
      </c>
      <c r="F97" s="417"/>
      <c r="G97" s="417"/>
      <c r="H97" s="417"/>
      <c r="I97" s="551">
        <f>SUM(D97:H97)</f>
        <v>5333065</v>
      </c>
      <c r="J97" s="418"/>
      <c r="K97" s="417"/>
      <c r="L97" s="417"/>
      <c r="M97" s="417"/>
      <c r="N97" s="551"/>
      <c r="O97" s="449"/>
      <c r="P97" s="417"/>
      <c r="Q97" s="429">
        <f>I97+N97</f>
        <v>5333065</v>
      </c>
      <c r="R97" s="420">
        <f t="shared" si="23"/>
        <v>1.5298857253263623E-2</v>
      </c>
      <c r="S97" s="421">
        <v>348592376</v>
      </c>
    </row>
    <row r="98" spans="1:19" ht="12.75" thickBot="1" x14ac:dyDescent="0.25">
      <c r="A98" s="396"/>
      <c r="B98" s="228">
        <v>2020</v>
      </c>
      <c r="C98" s="397"/>
      <c r="D98" s="419">
        <v>334098</v>
      </c>
      <c r="E98" s="419">
        <v>5377607</v>
      </c>
      <c r="F98" s="419"/>
      <c r="G98" s="419"/>
      <c r="H98" s="419"/>
      <c r="I98" s="562">
        <f>SUM(D98:H98)</f>
        <v>5711705</v>
      </c>
      <c r="J98" s="422"/>
      <c r="K98" s="419"/>
      <c r="L98" s="419"/>
      <c r="M98" s="419"/>
      <c r="N98" s="562"/>
      <c r="O98" s="450"/>
      <c r="P98" s="419"/>
      <c r="Q98" s="419">
        <f>I98+N98</f>
        <v>5711705</v>
      </c>
      <c r="R98" s="420">
        <f t="shared" si="23"/>
        <v>1.6460956810138021E-2</v>
      </c>
      <c r="S98" s="421">
        <v>346984994</v>
      </c>
    </row>
    <row r="99" spans="1:19" x14ac:dyDescent="0.2">
      <c r="A99" s="396"/>
      <c r="B99" s="228">
        <v>2021</v>
      </c>
      <c r="C99" s="397"/>
      <c r="D99" s="419">
        <v>976352</v>
      </c>
      <c r="E99" s="419">
        <v>5126132</v>
      </c>
      <c r="F99" s="398"/>
      <c r="G99" s="398"/>
      <c r="H99" s="398"/>
      <c r="I99" s="562">
        <f>SUM(D99:H99)</f>
        <v>6102484</v>
      </c>
      <c r="J99" s="397"/>
      <c r="K99" s="398"/>
      <c r="L99" s="398"/>
      <c r="M99" s="398"/>
      <c r="N99" s="558"/>
      <c r="O99" s="400"/>
      <c r="P99" s="566"/>
      <c r="Q99" s="565">
        <f>I99</f>
        <v>6102484</v>
      </c>
      <c r="R99" s="420"/>
      <c r="S99" s="421">
        <v>0</v>
      </c>
    </row>
    <row r="100" spans="1:19" s="436" customFormat="1" ht="12.75" thickBot="1" x14ac:dyDescent="0.25">
      <c r="A100" s="430"/>
      <c r="B100" s="431" t="s">
        <v>448</v>
      </c>
      <c r="C100" s="432"/>
      <c r="D100" s="433">
        <f>+D99/D98</f>
        <v>2.9223521242270234</v>
      </c>
      <c r="E100" s="433">
        <f>+E99/E98</f>
        <v>0.95323663480801035</v>
      </c>
      <c r="F100" s="433">
        <v>0</v>
      </c>
      <c r="G100" s="433"/>
      <c r="H100" s="433"/>
      <c r="I100" s="433">
        <f>+I99/I98</f>
        <v>1.0684172239287568</v>
      </c>
      <c r="J100" s="432"/>
      <c r="K100" s="433"/>
      <c r="L100" s="433"/>
      <c r="M100" s="433"/>
      <c r="N100" s="434"/>
      <c r="O100" s="435"/>
      <c r="P100" s="433"/>
      <c r="Q100" s="433"/>
      <c r="R100" s="427"/>
      <c r="S100" s="428">
        <v>0</v>
      </c>
    </row>
    <row r="101" spans="1:19" ht="12.75" thickBot="1" x14ac:dyDescent="0.25">
      <c r="A101" s="391" t="s">
        <v>289</v>
      </c>
      <c r="B101" s="231">
        <v>2019</v>
      </c>
      <c r="C101" s="392"/>
      <c r="D101" s="393"/>
      <c r="E101" s="393"/>
      <c r="F101" s="393"/>
      <c r="G101" s="393"/>
      <c r="H101" s="393"/>
      <c r="I101" s="557"/>
      <c r="J101" s="392"/>
      <c r="K101" s="393"/>
      <c r="L101" s="393"/>
      <c r="M101" s="393"/>
      <c r="N101" s="557"/>
      <c r="O101" s="395"/>
      <c r="P101" s="393"/>
      <c r="Q101" s="429"/>
      <c r="R101" s="420">
        <f t="shared" si="23"/>
        <v>0</v>
      </c>
      <c r="S101" s="421">
        <v>348592376</v>
      </c>
    </row>
    <row r="102" spans="1:19" ht="12.75" thickBot="1" x14ac:dyDescent="0.25">
      <c r="A102" s="396"/>
      <c r="B102" s="228">
        <v>2020</v>
      </c>
      <c r="C102" s="397"/>
      <c r="D102" s="398"/>
      <c r="E102" s="398"/>
      <c r="F102" s="398"/>
      <c r="G102" s="398"/>
      <c r="H102" s="398"/>
      <c r="I102" s="558"/>
      <c r="J102" s="397"/>
      <c r="K102" s="398"/>
      <c r="L102" s="398"/>
      <c r="M102" s="398"/>
      <c r="N102" s="558"/>
      <c r="O102" s="400"/>
      <c r="P102" s="398"/>
      <c r="Q102" s="419"/>
      <c r="R102" s="420">
        <f t="shared" si="23"/>
        <v>0</v>
      </c>
      <c r="S102" s="421">
        <v>346984994</v>
      </c>
    </row>
    <row r="103" spans="1:19" x14ac:dyDescent="0.2">
      <c r="A103" s="396"/>
      <c r="B103" s="228">
        <v>2021</v>
      </c>
      <c r="C103" s="397"/>
      <c r="D103" s="398"/>
      <c r="E103" s="398"/>
      <c r="F103" s="398"/>
      <c r="G103" s="398"/>
      <c r="H103" s="398"/>
      <c r="I103" s="558"/>
      <c r="J103" s="397"/>
      <c r="K103" s="398"/>
      <c r="L103" s="398"/>
      <c r="M103" s="398"/>
      <c r="N103" s="558"/>
      <c r="O103" s="400"/>
      <c r="P103" s="398"/>
      <c r="Q103" s="419"/>
      <c r="R103" s="420"/>
      <c r="S103" s="421">
        <v>0</v>
      </c>
    </row>
    <row r="104" spans="1:19" s="436" customFormat="1" ht="12.75" thickBot="1" x14ac:dyDescent="0.25">
      <c r="A104" s="430"/>
      <c r="B104" s="431" t="s">
        <v>448</v>
      </c>
      <c r="C104" s="432"/>
      <c r="D104" s="433"/>
      <c r="E104" s="433"/>
      <c r="F104" s="433">
        <v>0</v>
      </c>
      <c r="G104" s="433"/>
      <c r="H104" s="433"/>
      <c r="I104" s="434"/>
      <c r="J104" s="432"/>
      <c r="K104" s="433"/>
      <c r="L104" s="433"/>
      <c r="M104" s="433"/>
      <c r="N104" s="434"/>
      <c r="O104" s="435"/>
      <c r="P104" s="433"/>
      <c r="Q104" s="433"/>
      <c r="R104" s="427"/>
      <c r="S104" s="428">
        <v>0</v>
      </c>
    </row>
    <row r="105" spans="1:19" ht="12.75" thickBot="1" x14ac:dyDescent="0.25">
      <c r="A105" s="455" t="s">
        <v>0</v>
      </c>
      <c r="B105" s="231">
        <v>2019</v>
      </c>
      <c r="C105" s="412"/>
      <c r="D105" s="421">
        <f>+D5+D9+D13+D17+D21+D25+D29+D33+D37+D41+D45+D49+D53+D57+D61+D65+D69+D73+D77+D81+D85+D89+D93+D97+D101</f>
        <v>144560863</v>
      </c>
      <c r="E105" s="421">
        <f>+E5+E9+E13+E17+E21+E25+E29+E33+E37+E41+E45+E49+E53+E57+E61+E65+E69+E73+E77+E81+E85+E89+E93+E97+E101</f>
        <v>6495117</v>
      </c>
      <c r="F105" s="421">
        <f>+F5+F9+F13+F17+F21+F25+F29+F33+F37+F41+F45+F49+F53+F57+F61+F65+F69+F73+F77+F81+F85+F89+F93+F97+F101</f>
        <v>63394199</v>
      </c>
      <c r="G105" s="421"/>
      <c r="H105" s="421">
        <f t="shared" ref="H105:N105" si="28">+H5+H9+H13+H17+H21+H25+H29+H33+H37+H41+H45+H49+H53+H57+H61+H65+H69+H73+H77+H81+H85+H89+H93+H97+H101</f>
        <v>1615299</v>
      </c>
      <c r="I105" s="555">
        <f>+I5+I9+I13+I17+I21+I25+I29+I33+I37+I41+I45+I49+I53+I57+I61+I65+I69+I73+I77+I81+I85+I89+I93+I97+I101</f>
        <v>216065478</v>
      </c>
      <c r="J105" s="421"/>
      <c r="K105" s="421"/>
      <c r="L105" s="421">
        <f t="shared" si="28"/>
        <v>132526898</v>
      </c>
      <c r="M105" s="421"/>
      <c r="N105" s="555">
        <f t="shared" si="28"/>
        <v>132526898</v>
      </c>
      <c r="O105" s="421"/>
      <c r="P105" s="421"/>
      <c r="Q105" s="421">
        <f>+Q5+Q9+Q13+Q17+Q21+Q25+Q29+Q33+Q37+Q41+Q45+Q49+Q53+Q57+Q61+Q65+Q69+Q73+Q77+Q81+Q85+Q89+Q93+Q97+Q101</f>
        <v>348592376</v>
      </c>
      <c r="R105" s="420">
        <f>Q105/S105*100%</f>
        <v>1</v>
      </c>
      <c r="S105" s="421">
        <v>348592376</v>
      </c>
    </row>
    <row r="106" spans="1:19" ht="12.75" thickBot="1" x14ac:dyDescent="0.25">
      <c r="A106" s="456"/>
      <c r="B106" s="228">
        <v>2020</v>
      </c>
      <c r="C106" s="397"/>
      <c r="D106" s="421">
        <f>+D6+D10+D14+D18+D22+D26+D30+D34+D38+D42+D46+D50+D54+D58+D62+D66+D70+D74+D78+D82+D86+D90+D94+D98+D102</f>
        <v>156522460</v>
      </c>
      <c r="E106" s="421">
        <f t="shared" ref="E106:Q107" si="29">+E6+E10+E14+E18+E22+E26+E30+E34+E38+E42+E46+E50+E54+E58+E62+E66+E70+E74+E78+E82+E86+E90+E94+E98+E102</f>
        <v>6529136</v>
      </c>
      <c r="F106" s="421">
        <f t="shared" si="29"/>
        <v>68016613</v>
      </c>
      <c r="G106" s="421"/>
      <c r="H106" s="421">
        <f t="shared" si="29"/>
        <v>1366314</v>
      </c>
      <c r="I106" s="555">
        <f t="shared" si="29"/>
        <v>232280958</v>
      </c>
      <c r="J106" s="421"/>
      <c r="K106" s="421"/>
      <c r="L106" s="421">
        <f t="shared" si="29"/>
        <v>116711032</v>
      </c>
      <c r="M106" s="421"/>
      <c r="N106" s="555">
        <f t="shared" si="29"/>
        <v>116711032</v>
      </c>
      <c r="O106" s="421"/>
      <c r="P106" s="421"/>
      <c r="Q106" s="421">
        <f t="shared" si="29"/>
        <v>347933707</v>
      </c>
      <c r="R106" s="420">
        <f t="shared" si="23"/>
        <v>1.0027341614663601</v>
      </c>
      <c r="S106" s="421">
        <v>346984994</v>
      </c>
    </row>
    <row r="107" spans="1:19" x14ac:dyDescent="0.2">
      <c r="A107" s="456"/>
      <c r="B107" s="228">
        <v>2021</v>
      </c>
      <c r="C107" s="397"/>
      <c r="D107" s="421">
        <f>+D7+D11+D15+D19+D23+D27+D31+D35+D39+D43+D47+D51+D55+D59+D63+D67+D71+D75+D79+D83+D87+D91+D95+D99+D103</f>
        <v>169267864</v>
      </c>
      <c r="E107" s="421">
        <f t="shared" si="29"/>
        <v>6120865</v>
      </c>
      <c r="F107" s="421">
        <f t="shared" si="29"/>
        <v>51781644</v>
      </c>
      <c r="G107" s="421"/>
      <c r="H107" s="421">
        <f t="shared" si="29"/>
        <v>1366314</v>
      </c>
      <c r="I107" s="555">
        <f t="shared" si="29"/>
        <v>228536687</v>
      </c>
      <c r="J107" s="421"/>
      <c r="K107" s="421"/>
      <c r="L107" s="421">
        <f t="shared" si="29"/>
        <v>136716956</v>
      </c>
      <c r="M107" s="421"/>
      <c r="N107" s="555">
        <f t="shared" si="29"/>
        <v>136716956</v>
      </c>
      <c r="O107" s="421"/>
      <c r="P107" s="421"/>
      <c r="Q107" s="421">
        <f>I107+N107</f>
        <v>365253643</v>
      </c>
      <c r="R107" s="420"/>
      <c r="S107" s="421">
        <v>0</v>
      </c>
    </row>
    <row r="108" spans="1:19" s="436" customFormat="1" ht="12.75" thickBot="1" x14ac:dyDescent="0.25">
      <c r="A108" s="430"/>
      <c r="B108" s="457" t="s">
        <v>448</v>
      </c>
      <c r="C108" s="458"/>
      <c r="D108" s="459">
        <f>+D8+D12+D16+D20+D24+D28+D32+D36+D40+D44+D48+D52+D56+D60+D64+D68+D72+D76+D80+D84+D88+D92+D96+D100+D104</f>
        <v>15.670712861900137</v>
      </c>
      <c r="E108" s="459">
        <f>+E8+E12+E16+E20+E24+E28+E32+E36+E40+E44+E48+E52+E56+E60+E64+E68+E72+E76+E80+E84+E88+E92+E96+E100+E104</f>
        <v>3.85190032302937</v>
      </c>
      <c r="F108" s="459">
        <f>+F8+F12+F16+F20+F24+F28+F32+F36+F40+F44+F48+F52+F56+F60+F64+F68+F72+F76+F80+F84+F88+F92+F96+F100+F104</f>
        <v>21.252578352308284</v>
      </c>
      <c r="G108" s="459"/>
      <c r="H108" s="459">
        <f>+H8+H12+H16+H20+H24+H28+H32+H36+H40+H44+H48+H52+H56+H60+H64+H68+H72+H76+H80+H84+H88+H92+H96+H100+H104</f>
        <v>2</v>
      </c>
      <c r="I108" s="459">
        <f>+I8+I12+I16+I20+I24+I28+I32+I36+I40+I44+I48+I52+I56+I60+I64+I68+I72+I76+I80+I84+I88+I92+I96+I100+I104</f>
        <v>22.221185037037831</v>
      </c>
      <c r="J108" s="459"/>
      <c r="K108" s="459"/>
      <c r="L108" s="459">
        <f>+L8+L12+L16+L20+L24+L28+L32+L36+L40+L44+L48+L52+L56+L60+L64+L68+L72+L76+L80+L84+L88+L92+L96+L100+L104</f>
        <v>8.1466597807333105</v>
      </c>
      <c r="M108" s="459"/>
      <c r="N108" s="459">
        <f>+N8+N12+N16+N20+N24+N28+N32+N36+N40+N44+N48+N52+N56+N60+N64+N68+N72+N76+N80+N84+N88+N92+N96+N100+N104</f>
        <v>8.1466597807333105</v>
      </c>
      <c r="O108" s="459"/>
      <c r="P108" s="459"/>
      <c r="Q108" s="459">
        <f>+Q8+Q12+Q16+Q20+Q24+Q28+Q32+Q36+Q40+Q44+Q48+Q52+Q56+Q60+Q64+Q68+Q72+Q76+Q80+Q84+Q88+Q92+Q96+Q100+Q104</f>
        <v>1.7086410289930978</v>
      </c>
      <c r="R108" s="427"/>
      <c r="S108" s="428">
        <v>0</v>
      </c>
    </row>
    <row r="110" spans="1:19" x14ac:dyDescent="0.2">
      <c r="Q110" s="567">
        <f>SUM(Q15+Q23+Q31+Q35+Q39+Q43+Q47+Q51+Q55+Q59+Q63+Q67+Q71+Q75+Q79+Q83+Q91+Q95+Q99)</f>
        <v>365253643</v>
      </c>
    </row>
  </sheetData>
  <mergeCells count="6">
    <mergeCell ref="Q3:R3"/>
    <mergeCell ref="A3:A4"/>
    <mergeCell ref="B3:B4"/>
    <mergeCell ref="C3:I3"/>
    <mergeCell ref="J3:N3"/>
    <mergeCell ref="O3:P3"/>
  </mergeCells>
  <printOptions horizontalCentered="1"/>
  <pageMargins left="0.25" right="0.25" top="0.75" bottom="0.75" header="0.3" footer="0.3"/>
  <pageSetup paperSize="9" scale="42" orientation="portrait" r:id="rId1"/>
  <headerFooter alignWithMargins="0">
    <oddHeader xml:space="preserve">&amp;C&amp;"Arial,Negrita"&amp;18PROYECTO DE PRESUPUESTO 2021
</oddHeader>
    <oddFooter>&amp;L&amp;"Arial,Negrita"&amp;8PROYECTO DE PRESUPUESTO PARA EL AÑO FISCAL 2021
INFORMACIÓN PARA LA COMISIÓN DE PRESUPUESTO Y CUENTA GENERAL DE LA REPÚBLICA DEL CONGRESO DE LA REPÚBLICA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21</vt:i4>
      </vt:variant>
      <vt:variant>
        <vt:lpstr>Rangos con nombre</vt:lpstr>
      </vt:variant>
      <vt:variant>
        <vt:i4>17</vt:i4>
      </vt:variant>
    </vt:vector>
  </HeadingPairs>
  <TitlesOfParts>
    <vt:vector size="38" baseType="lpstr">
      <vt:lpstr>Índice</vt:lpstr>
      <vt:lpstr>F-01</vt:lpstr>
      <vt:lpstr>F-02</vt:lpstr>
      <vt:lpstr>F-03</vt:lpstr>
      <vt:lpstr>F-04</vt:lpstr>
      <vt:lpstr>F-05 </vt:lpstr>
      <vt:lpstr>F-06</vt:lpstr>
      <vt:lpstr>F-07</vt:lpstr>
      <vt:lpstr>F-08 </vt:lpstr>
      <vt:lpstr>F-09</vt:lpstr>
      <vt:lpstr>F-10</vt:lpstr>
      <vt:lpstr>F-11</vt:lpstr>
      <vt:lpstr>F-12 </vt:lpstr>
      <vt:lpstr>F-13 </vt:lpstr>
      <vt:lpstr>F-14</vt:lpstr>
      <vt:lpstr>F-15</vt:lpstr>
      <vt:lpstr>F-16</vt:lpstr>
      <vt:lpstr>F-17</vt:lpstr>
      <vt:lpstr>F-18</vt:lpstr>
      <vt:lpstr>Hoja2</vt:lpstr>
      <vt:lpstr>Hoja1</vt:lpstr>
      <vt:lpstr>'F-01'!Área_de_impresión</vt:lpstr>
      <vt:lpstr>'F-06'!Área_de_impresión</vt:lpstr>
      <vt:lpstr>'F-07'!Área_de_impresión</vt:lpstr>
      <vt:lpstr>'F-08 '!Área_de_impresión</vt:lpstr>
      <vt:lpstr>'F-09'!Área_de_impresión</vt:lpstr>
      <vt:lpstr>'F-10'!Área_de_impresión</vt:lpstr>
      <vt:lpstr>'F-11'!Área_de_impresión</vt:lpstr>
      <vt:lpstr>'F-12 '!Área_de_impresión</vt:lpstr>
      <vt:lpstr>'F-13 '!Área_de_impresión</vt:lpstr>
      <vt:lpstr>'F-14'!Área_de_impresión</vt:lpstr>
      <vt:lpstr>'F-15'!Área_de_impresión</vt:lpstr>
      <vt:lpstr>'F-16'!Área_de_impresión</vt:lpstr>
      <vt:lpstr>'F-17'!Área_de_impresión</vt:lpstr>
      <vt:lpstr>'F-18'!Área_de_impresión</vt:lpstr>
      <vt:lpstr>Índice!Área_de_impresión</vt:lpstr>
      <vt:lpstr>'F-01'!Títulos_a_imprimir</vt:lpstr>
      <vt:lpstr>Índice!Títulos_a_imprimir</vt:lpstr>
    </vt:vector>
  </TitlesOfParts>
  <Company>Congreso de la República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Directiva Formulaicón de Presupuesto (V 2008)</dc:title>
  <dc:creator>Asesoria de Presupuesto</dc:creator>
  <cp:lastModifiedBy>Luis Enrique Pineda Larzo</cp:lastModifiedBy>
  <cp:lastPrinted>2020-10-13T12:43:14Z</cp:lastPrinted>
  <dcterms:created xsi:type="dcterms:W3CDTF">1998-08-20T20:27:58Z</dcterms:created>
  <dcterms:modified xsi:type="dcterms:W3CDTF">2022-10-20T21:46:22Z</dcterms:modified>
</cp:coreProperties>
</file>