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pineda\Documents\JOSÉ LUNA GÁLVEZ\Página Wb\Presentaciones\Ejecutivo\Tribunal Constitucional\"/>
    </mc:Choice>
  </mc:AlternateContent>
  <xr:revisionPtr revIDLastSave="0" documentId="8_{8DF77354-14C5-444E-90A1-38D34AB4940F}" xr6:coauthVersionLast="47" xr6:coauthVersionMax="47" xr10:uidLastSave="{00000000-0000-0000-0000-000000000000}"/>
  <bookViews>
    <workbookView xWindow="-120" yWindow="-120" windowWidth="24240" windowHeight="13140" firstSheet="4" activeTab="6" xr2:uid="{00000000-000D-0000-FFFF-FFFF00000000}"/>
  </bookViews>
  <sheets>
    <sheet name="FMTO 01" sheetId="1" r:id="rId1"/>
    <sheet name="FMTO 02" sheetId="2" r:id="rId2"/>
    <sheet name="FMTO 03" sheetId="4" r:id="rId3"/>
    <sheet name="FMTO 04" sheetId="5" r:id="rId4"/>
    <sheet name="FMTO 05" sheetId="3" r:id="rId5"/>
    <sheet name="FMTO 06" sheetId="6" r:id="rId6"/>
    <sheet name="FMTO 07" sheetId="8" r:id="rId7"/>
    <sheet name="FMTO 08" sheetId="9" r:id="rId8"/>
    <sheet name="FMTO 09" sheetId="12" r:id="rId9"/>
    <sheet name="FMTO 10" sheetId="7" r:id="rId10"/>
    <sheet name="FMTO 11" sheetId="11" r:id="rId11"/>
    <sheet name="FMTO 12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J10" i="1"/>
  <c r="S9" i="1"/>
  <c r="O9" i="1"/>
  <c r="L9" i="1"/>
  <c r="J9" i="1"/>
  <c r="O8" i="1"/>
  <c r="L8" i="1"/>
  <c r="J8" i="1"/>
  <c r="O7" i="1"/>
  <c r="O6" i="1"/>
  <c r="K6" i="1"/>
  <c r="L6" i="1" s="1"/>
  <c r="J6" i="1"/>
  <c r="R116" i="11" l="1"/>
  <c r="P115" i="11"/>
  <c r="M115" i="11"/>
  <c r="R114" i="11"/>
  <c r="P114" i="11"/>
  <c r="M114" i="11"/>
  <c r="R113" i="11"/>
  <c r="P113" i="11"/>
  <c r="M113" i="11"/>
  <c r="R112" i="11"/>
  <c r="P112" i="11"/>
  <c r="M112" i="11"/>
  <c r="R111" i="11"/>
  <c r="P111" i="11"/>
  <c r="M111" i="11"/>
  <c r="R110" i="11"/>
  <c r="P110" i="11"/>
  <c r="M110" i="11"/>
  <c r="R109" i="11"/>
  <c r="P109" i="11"/>
  <c r="R108" i="11"/>
  <c r="P108" i="11"/>
  <c r="M108" i="11"/>
  <c r="R107" i="11"/>
  <c r="P107" i="11"/>
  <c r="M107" i="11"/>
  <c r="R106" i="11"/>
  <c r="P105" i="11"/>
  <c r="M105" i="11"/>
  <c r="R104" i="11"/>
  <c r="P104" i="11"/>
  <c r="M104" i="11"/>
  <c r="M103" i="11"/>
  <c r="R102" i="11"/>
  <c r="P102" i="11"/>
  <c r="M102" i="11"/>
  <c r="R101" i="11"/>
  <c r="P101" i="11"/>
  <c r="M101" i="11"/>
  <c r="R100" i="11"/>
  <c r="P100" i="11"/>
  <c r="M100" i="11"/>
  <c r="R99" i="11"/>
  <c r="P99" i="11"/>
  <c r="M99" i="11"/>
  <c r="R98" i="11"/>
  <c r="P98" i="11"/>
  <c r="M98" i="11"/>
  <c r="R97" i="11"/>
  <c r="P97" i="11"/>
  <c r="M97" i="11"/>
  <c r="R96" i="11"/>
  <c r="P96" i="11"/>
  <c r="M96" i="11"/>
  <c r="P95" i="11"/>
  <c r="M95" i="11"/>
  <c r="R94" i="11"/>
  <c r="P94" i="11"/>
  <c r="M94" i="11"/>
  <c r="M93" i="11"/>
  <c r="R92" i="11"/>
  <c r="P92" i="11"/>
  <c r="M92" i="11"/>
  <c r="R91" i="11"/>
  <c r="P91" i="11"/>
  <c r="M91" i="11"/>
  <c r="R90" i="11"/>
  <c r="P90" i="11"/>
  <c r="M90" i="11"/>
  <c r="R89" i="11"/>
  <c r="P89" i="11"/>
  <c r="M89" i="11"/>
  <c r="R88" i="11"/>
  <c r="P88" i="11"/>
  <c r="M88" i="11"/>
  <c r="R87" i="11"/>
  <c r="P87" i="11"/>
  <c r="M87" i="11"/>
  <c r="R86" i="11"/>
  <c r="P86" i="11"/>
  <c r="M86" i="11"/>
  <c r="R85" i="11"/>
  <c r="P85" i="11"/>
  <c r="M85" i="11"/>
  <c r="R84" i="11"/>
  <c r="P84" i="11"/>
  <c r="M84" i="11"/>
  <c r="R83" i="11"/>
  <c r="P83" i="11"/>
  <c r="M83" i="11"/>
  <c r="R82" i="11"/>
  <c r="P82" i="11"/>
  <c r="M82" i="11"/>
  <c r="R81" i="11"/>
  <c r="P81" i="11"/>
  <c r="M81" i="11"/>
  <c r="R80" i="11"/>
  <c r="P80" i="11"/>
  <c r="M80" i="11"/>
  <c r="R79" i="11"/>
  <c r="P79" i="11"/>
  <c r="M79" i="11"/>
  <c r="R78" i="11"/>
  <c r="P78" i="11"/>
  <c r="M78" i="11"/>
  <c r="R77" i="11"/>
  <c r="P77" i="11"/>
  <c r="M77" i="11"/>
  <c r="R76" i="11"/>
  <c r="P75" i="11"/>
  <c r="M75" i="11"/>
  <c r="R74" i="11"/>
  <c r="P74" i="11"/>
  <c r="M74" i="11"/>
  <c r="M73" i="11"/>
  <c r="R72" i="11"/>
  <c r="P71" i="11"/>
  <c r="M71" i="11"/>
  <c r="M70" i="11"/>
  <c r="R69" i="11"/>
  <c r="P69" i="11"/>
  <c r="M69" i="11"/>
  <c r="M68" i="11"/>
  <c r="R67" i="11"/>
  <c r="P67" i="11"/>
  <c r="M67" i="11"/>
  <c r="R66" i="11"/>
  <c r="P66" i="11"/>
  <c r="M66" i="11"/>
  <c r="R65" i="11"/>
  <c r="P65" i="11"/>
  <c r="M65" i="11"/>
  <c r="R64" i="11"/>
  <c r="P64" i="11"/>
  <c r="M64" i="11"/>
  <c r="R63" i="11"/>
  <c r="P63" i="11"/>
  <c r="M63" i="11"/>
  <c r="R62" i="11"/>
  <c r="P61" i="11"/>
  <c r="M61" i="11"/>
  <c r="R60" i="11"/>
  <c r="P59" i="11"/>
  <c r="M59" i="11"/>
  <c r="R58" i="11"/>
  <c r="P58" i="11"/>
  <c r="M58" i="11"/>
  <c r="R57" i="11"/>
  <c r="P56" i="11"/>
  <c r="M56" i="11"/>
  <c r="R55" i="11"/>
  <c r="P55" i="11"/>
  <c r="M55" i="11"/>
  <c r="R54" i="11"/>
  <c r="P54" i="11"/>
  <c r="M54" i="11"/>
  <c r="R53" i="11"/>
  <c r="P53" i="11"/>
  <c r="M53" i="11"/>
  <c r="R52" i="11"/>
  <c r="P52" i="11"/>
  <c r="M52" i="11"/>
  <c r="M51" i="11"/>
  <c r="R50" i="11"/>
  <c r="P49" i="11"/>
  <c r="M49" i="11"/>
  <c r="R48" i="11"/>
  <c r="P48" i="11"/>
  <c r="M48" i="11"/>
  <c r="R47" i="11"/>
  <c r="P47" i="11"/>
  <c r="M47" i="11"/>
  <c r="R46" i="11"/>
  <c r="P46" i="11"/>
  <c r="M46" i="11"/>
  <c r="R45" i="11"/>
  <c r="P45" i="11"/>
  <c r="M45" i="11"/>
  <c r="R44" i="11"/>
  <c r="P44" i="11"/>
  <c r="M44" i="11"/>
  <c r="R43" i="11"/>
  <c r="P43" i="11"/>
  <c r="M43" i="11"/>
  <c r="R42" i="11"/>
  <c r="P42" i="11"/>
  <c r="M42" i="11"/>
  <c r="R41" i="11"/>
  <c r="P41" i="11"/>
  <c r="M41" i="11"/>
  <c r="R40" i="11"/>
  <c r="P40" i="11"/>
  <c r="M40" i="11"/>
  <c r="R39" i="11"/>
  <c r="P38" i="11"/>
  <c r="M38" i="11"/>
  <c r="R37" i="11"/>
  <c r="P37" i="11"/>
  <c r="M37" i="11"/>
  <c r="M36" i="11"/>
  <c r="R35" i="11"/>
  <c r="P35" i="11"/>
  <c r="M35" i="11"/>
  <c r="R34" i="11"/>
  <c r="P34" i="11"/>
  <c r="M34" i="11"/>
  <c r="R33" i="11"/>
  <c r="P33" i="11"/>
  <c r="M33" i="11"/>
  <c r="M32" i="11"/>
  <c r="R31" i="11"/>
  <c r="P31" i="11"/>
  <c r="M31" i="11"/>
  <c r="R30" i="11"/>
  <c r="P30" i="11"/>
  <c r="M30" i="11"/>
  <c r="R29" i="11"/>
  <c r="P29" i="11"/>
  <c r="M29" i="11"/>
  <c r="M28" i="11"/>
  <c r="R27" i="11"/>
  <c r="M26" i="11"/>
  <c r="R25" i="11"/>
  <c r="P25" i="11"/>
  <c r="M25" i="11"/>
  <c r="R24" i="11"/>
  <c r="P24" i="11"/>
  <c r="M24" i="11"/>
  <c r="R23" i="11"/>
  <c r="P23" i="11"/>
  <c r="M23" i="11"/>
  <c r="R22" i="11"/>
  <c r="P22" i="11"/>
  <c r="M22" i="11"/>
  <c r="R21" i="11"/>
  <c r="P21" i="11"/>
  <c r="M21" i="11"/>
  <c r="R20" i="11"/>
  <c r="P20" i="11"/>
  <c r="M20" i="11"/>
  <c r="R19" i="11"/>
  <c r="P18" i="11"/>
  <c r="M18" i="11"/>
  <c r="R17" i="11"/>
  <c r="P16" i="11"/>
  <c r="M16" i="11"/>
  <c r="R15" i="11"/>
  <c r="P15" i="11"/>
  <c r="M15" i="11"/>
  <c r="R14" i="11"/>
  <c r="P14" i="11"/>
  <c r="M14" i="11"/>
  <c r="R13" i="11"/>
  <c r="P12" i="11"/>
  <c r="M12" i="11"/>
  <c r="R11" i="11"/>
  <c r="P11" i="11"/>
  <c r="M11" i="11"/>
  <c r="R10" i="11"/>
  <c r="P9" i="11"/>
  <c r="M9" i="11"/>
  <c r="M8" i="11"/>
  <c r="M7" i="11"/>
  <c r="R6" i="11"/>
  <c r="P6" i="11"/>
  <c r="M6" i="11"/>
  <c r="G9" i="10" l="1"/>
  <c r="H9" i="10"/>
  <c r="E31" i="8"/>
  <c r="E25" i="8"/>
  <c r="E15" i="8"/>
  <c r="E7" i="8"/>
  <c r="F33" i="6"/>
  <c r="I33" i="6" s="1"/>
  <c r="J33" i="6" s="1"/>
  <c r="E33" i="6"/>
  <c r="D33" i="6"/>
  <c r="C33" i="6"/>
  <c r="B33" i="6"/>
  <c r="I32" i="6"/>
  <c r="J32" i="6" s="1"/>
  <c r="G32" i="6"/>
  <c r="I31" i="6"/>
  <c r="J31" i="6" s="1"/>
  <c r="G31" i="6"/>
  <c r="H31" i="6" s="1"/>
  <c r="F30" i="6"/>
  <c r="E30" i="6"/>
  <c r="D30" i="6"/>
  <c r="C30" i="6"/>
  <c r="B30" i="6"/>
  <c r="F29" i="6"/>
  <c r="I29" i="6" s="1"/>
  <c r="E29" i="6"/>
  <c r="D29" i="6"/>
  <c r="C29" i="6"/>
  <c r="B29" i="6"/>
  <c r="G28" i="6"/>
  <c r="H28" i="6" s="1"/>
  <c r="E28" i="6"/>
  <c r="D28" i="6"/>
  <c r="I28" i="6" s="1"/>
  <c r="J28" i="6" s="1"/>
  <c r="C28" i="6"/>
  <c r="B28" i="6"/>
  <c r="I27" i="6"/>
  <c r="G27" i="6"/>
  <c r="I26" i="6"/>
  <c r="J26" i="6" s="1"/>
  <c r="E26" i="6"/>
  <c r="D26" i="6"/>
  <c r="C26" i="6"/>
  <c r="B26" i="6"/>
  <c r="I25" i="6"/>
  <c r="J25" i="6" s="1"/>
  <c r="G25" i="6"/>
  <c r="H25" i="6" s="1"/>
  <c r="I24" i="6"/>
  <c r="J24" i="6" s="1"/>
  <c r="H24" i="6"/>
  <c r="G24" i="6"/>
  <c r="I23" i="6"/>
  <c r="J23" i="6" s="1"/>
  <c r="G23" i="6"/>
  <c r="H23" i="6" s="1"/>
  <c r="F22" i="6"/>
  <c r="E22" i="6"/>
  <c r="D22" i="6"/>
  <c r="C22" i="6"/>
  <c r="B22" i="6"/>
  <c r="F21" i="6"/>
  <c r="E21" i="6"/>
  <c r="G21" i="6" s="1"/>
  <c r="H21" i="6" s="1"/>
  <c r="D21" i="6"/>
  <c r="C21" i="6"/>
  <c r="B21" i="6"/>
  <c r="G20" i="6"/>
  <c r="H20" i="6" s="1"/>
  <c r="D20" i="6"/>
  <c r="I20" i="6" s="1"/>
  <c r="J20" i="6" s="1"/>
  <c r="F19" i="6"/>
  <c r="I19" i="6" s="1"/>
  <c r="E19" i="6"/>
  <c r="G19" i="6" s="1"/>
  <c r="H19" i="6" s="1"/>
  <c r="D19" i="6"/>
  <c r="C19" i="6"/>
  <c r="B19" i="6"/>
  <c r="E18" i="6"/>
  <c r="G18" i="6" s="1"/>
  <c r="H18" i="6" s="1"/>
  <c r="D18" i="6"/>
  <c r="I18" i="6" s="1"/>
  <c r="G17" i="6"/>
  <c r="D17" i="6"/>
  <c r="I17" i="6" s="1"/>
  <c r="J17" i="6" s="1"/>
  <c r="F16" i="6"/>
  <c r="E16" i="6"/>
  <c r="D16" i="6"/>
  <c r="C16" i="6"/>
  <c r="B16" i="6"/>
  <c r="G16" i="6" s="1"/>
  <c r="H16" i="6" s="1"/>
  <c r="F15" i="6"/>
  <c r="I15" i="6" s="1"/>
  <c r="E15" i="6"/>
  <c r="D15" i="6"/>
  <c r="C15" i="6"/>
  <c r="B15" i="6"/>
  <c r="F14" i="6"/>
  <c r="E14" i="6"/>
  <c r="D14" i="6"/>
  <c r="I14" i="6" s="1"/>
  <c r="J14" i="6" s="1"/>
  <c r="C14" i="6"/>
  <c r="B14" i="6"/>
  <c r="F13" i="6"/>
  <c r="E13" i="6"/>
  <c r="D13" i="6"/>
  <c r="C13" i="6"/>
  <c r="B13" i="6"/>
  <c r="I12" i="6"/>
  <c r="J12" i="6" s="1"/>
  <c r="G12" i="6"/>
  <c r="H12" i="6" s="1"/>
  <c r="J11" i="6"/>
  <c r="I11" i="6"/>
  <c r="G11" i="6"/>
  <c r="H11" i="6" s="1"/>
  <c r="F10" i="6"/>
  <c r="E10" i="6"/>
  <c r="D10" i="6"/>
  <c r="C10" i="6"/>
  <c r="B10" i="6"/>
  <c r="I9" i="6"/>
  <c r="G9" i="6"/>
  <c r="I8" i="6"/>
  <c r="J8" i="6" s="1"/>
  <c r="G8" i="6"/>
  <c r="H8" i="6" s="1"/>
  <c r="I7" i="6"/>
  <c r="E7" i="6"/>
  <c r="C7" i="6"/>
  <c r="B7" i="6"/>
  <c r="I6" i="6"/>
  <c r="J6" i="6" s="1"/>
  <c r="G6" i="6"/>
  <c r="H6" i="6" s="1"/>
  <c r="J19" i="6" l="1"/>
  <c r="J29" i="6"/>
  <c r="J15" i="6"/>
  <c r="G7" i="6"/>
  <c r="D34" i="6"/>
  <c r="G14" i="6"/>
  <c r="H14" i="6" s="1"/>
  <c r="G22" i="6"/>
  <c r="H22" i="6" s="1"/>
  <c r="G29" i="6"/>
  <c r="H29" i="6" s="1"/>
  <c r="J7" i="6"/>
  <c r="I16" i="6"/>
  <c r="J16" i="6" s="1"/>
  <c r="G33" i="6"/>
  <c r="H33" i="6" s="1"/>
  <c r="I21" i="6"/>
  <c r="J21" i="6" s="1"/>
  <c r="E34" i="6"/>
  <c r="I22" i="6"/>
  <c r="J22" i="6" s="1"/>
  <c r="F34" i="6"/>
  <c r="J18" i="6"/>
  <c r="G13" i="6"/>
  <c r="H13" i="6" s="1"/>
  <c r="B34" i="6"/>
  <c r="I13" i="6"/>
  <c r="J13" i="6" s="1"/>
  <c r="G30" i="6"/>
  <c r="H30" i="6" s="1"/>
  <c r="C34" i="6"/>
  <c r="G15" i="6"/>
  <c r="H15" i="6" s="1"/>
  <c r="G26" i="6"/>
  <c r="H26" i="6" s="1"/>
  <c r="I30" i="6"/>
  <c r="J30" i="6" s="1"/>
  <c r="H7" i="6"/>
  <c r="I10" i="6"/>
  <c r="J10" i="6" s="1"/>
  <c r="G10" i="6"/>
  <c r="H10" i="6" s="1"/>
  <c r="I34" i="6" l="1"/>
  <c r="G34" i="6"/>
  <c r="Q8" i="5" l="1"/>
  <c r="N8" i="5"/>
  <c r="L8" i="5"/>
  <c r="I8" i="5"/>
  <c r="H8" i="5"/>
  <c r="G8" i="5"/>
  <c r="F8" i="5"/>
  <c r="E8" i="5"/>
  <c r="D8" i="5"/>
  <c r="D7" i="5"/>
  <c r="R7" i="5"/>
  <c r="R11" i="5" s="1"/>
  <c r="R6" i="5"/>
  <c r="O11" i="5"/>
  <c r="P11" i="5"/>
  <c r="N7" i="5"/>
  <c r="N11" i="5" s="1"/>
  <c r="J7" i="5"/>
  <c r="J11" i="5" s="1"/>
  <c r="K7" i="5"/>
  <c r="K11" i="5" s="1"/>
  <c r="L7" i="5"/>
  <c r="L11" i="5" s="1"/>
  <c r="M7" i="5"/>
  <c r="M11" i="5" s="1"/>
  <c r="I7" i="5"/>
  <c r="E7" i="5"/>
  <c r="E11" i="5" s="1"/>
  <c r="F7" i="5"/>
  <c r="F11" i="5" s="1"/>
  <c r="G7" i="5"/>
  <c r="G11" i="5" s="1"/>
  <c r="H7" i="5"/>
  <c r="H11" i="5" s="1"/>
  <c r="P9" i="4"/>
  <c r="D9" i="4"/>
  <c r="F9" i="4"/>
  <c r="G9" i="4"/>
  <c r="L9" i="4"/>
  <c r="N9" i="4"/>
  <c r="C9" i="4"/>
  <c r="N6" i="4"/>
  <c r="I6" i="4"/>
  <c r="I9" i="4" s="1"/>
  <c r="J6" i="4"/>
  <c r="J9" i="4" s="1"/>
  <c r="K6" i="4"/>
  <c r="K9" i="4" s="1"/>
  <c r="L6" i="4"/>
  <c r="M6" i="4"/>
  <c r="M9" i="4" s="1"/>
  <c r="D6" i="4"/>
  <c r="E6" i="4"/>
  <c r="E9" i="4" s="1"/>
  <c r="F6" i="4"/>
  <c r="G6" i="4"/>
  <c r="H6" i="4"/>
  <c r="H9" i="4" s="1"/>
  <c r="C6" i="4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N5" i="2"/>
  <c r="I5" i="2"/>
  <c r="Q5" i="2" s="1"/>
  <c r="D11" i="5" l="1"/>
  <c r="Q7" i="5"/>
  <c r="Q11" i="5" s="1"/>
  <c r="I11" i="5"/>
  <c r="O6" i="4"/>
  <c r="O9" i="4" s="1"/>
  <c r="N6" i="5" l="1"/>
  <c r="N10" i="5" s="1"/>
  <c r="N5" i="5"/>
  <c r="N9" i="5" s="1"/>
  <c r="I6" i="5"/>
  <c r="I5" i="5"/>
  <c r="R10" i="5"/>
  <c r="P10" i="5"/>
  <c r="O10" i="5"/>
  <c r="M10" i="5"/>
  <c r="L10" i="5"/>
  <c r="K10" i="5"/>
  <c r="J10" i="5"/>
  <c r="H10" i="5"/>
  <c r="G10" i="5"/>
  <c r="F10" i="5"/>
  <c r="E10" i="5"/>
  <c r="R9" i="5"/>
  <c r="P9" i="5"/>
  <c r="O9" i="5"/>
  <c r="M9" i="5"/>
  <c r="L9" i="5"/>
  <c r="K9" i="5"/>
  <c r="J9" i="5"/>
  <c r="H9" i="5"/>
  <c r="G9" i="5"/>
  <c r="F9" i="5"/>
  <c r="E9" i="5"/>
  <c r="D10" i="5"/>
  <c r="D9" i="5"/>
  <c r="R12" i="5"/>
  <c r="P8" i="5"/>
  <c r="P12" i="5" s="1"/>
  <c r="O8" i="5"/>
  <c r="O12" i="5" s="1"/>
  <c r="M8" i="5"/>
  <c r="M12" i="5" s="1"/>
  <c r="L12" i="5"/>
  <c r="K8" i="5"/>
  <c r="K12" i="5" s="1"/>
  <c r="J8" i="5"/>
  <c r="J12" i="5" s="1"/>
  <c r="H12" i="5"/>
  <c r="G12" i="5"/>
  <c r="F12" i="5"/>
  <c r="E12" i="5"/>
  <c r="D12" i="5"/>
  <c r="I9" i="5" l="1"/>
  <c r="Q5" i="5"/>
  <c r="Q9" i="5" s="1"/>
  <c r="I12" i="5"/>
  <c r="Q6" i="5"/>
  <c r="N12" i="5"/>
  <c r="I10" i="5"/>
  <c r="Q10" i="5" l="1"/>
  <c r="Q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3" authorId="0" shapeId="0" xr:uid="{067A5E0E-5AB7-43D1-8FE0-99975D095A28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sharedStrings.xml><?xml version="1.0" encoding="utf-8"?>
<sst xmlns="http://schemas.openxmlformats.org/spreadsheetml/2006/main" count="1499" uniqueCount="618">
  <si>
    <t>PLIEGO O ENTIDAD DEL SECTOR</t>
  </si>
  <si>
    <t>Objetivo Estrategico Sectorial
(Código)</t>
  </si>
  <si>
    <t>Objetivo Estrategico Institucional
(Código y Enunciado)</t>
  </si>
  <si>
    <t>Nombre del Indicador</t>
  </si>
  <si>
    <t>Linea Base</t>
  </si>
  <si>
    <t>PLIEGOS DEL SECTOR O GOBIERNO REGIONAL</t>
  </si>
  <si>
    <t>GASTOS CORRIENTES</t>
  </si>
  <si>
    <t>GASTOS DE CAPITAL</t>
  </si>
  <si>
    <t>SERVICIO DE DEUDA</t>
  </si>
  <si>
    <t>TOTAL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</si>
  <si>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</si>
  <si>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</si>
  <si>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</si>
  <si>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</si>
  <si>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</si>
  <si>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</si>
  <si>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SUB TOTAL GASTOS CORRIENTES</t>
  </si>
  <si>
    <t>7: Donaciones y Transferencias</t>
  </si>
  <si>
    <t>8: Otros Gastos</t>
  </si>
  <si>
    <t>9: Adquisiciones de Activos No Financieros</t>
  </si>
  <si>
    <t>10: Adquisiciones de Activos Financieros</t>
  </si>
  <si>
    <t>SUB TOTAL GASTOS DE CAPITAL</t>
  </si>
  <si>
    <t>11: Servicio de la Deuda</t>
  </si>
  <si>
    <t>SUB TOTAL SERVICIO DE DEUDA</t>
  </si>
  <si>
    <t>TOTAL GASTOS UNIDAD EJECUTORA / ENTIDAD PÚBLICA</t>
  </si>
  <si>
    <t>PART. %</t>
  </si>
  <si>
    <t>UNIDADES EJECUTORAS DEL PLIEGO</t>
  </si>
  <si>
    <t>Unidad de Medida</t>
  </si>
  <si>
    <t xml:space="preserve">Valor </t>
  </si>
  <si>
    <t>Año</t>
  </si>
  <si>
    <t>%</t>
  </si>
  <si>
    <t>Meta (Logro Esperado)</t>
  </si>
  <si>
    <t>Resultado obtenido</t>
  </si>
  <si>
    <t>PIA           Proyectado</t>
  </si>
  <si>
    <t>TOTALES</t>
  </si>
  <si>
    <t>AÑOS</t>
  </si>
  <si>
    <t>2022 (*)</t>
  </si>
  <si>
    <t>2023 (**)</t>
  </si>
  <si>
    <t>PROGRAMAS PRESUPESTALES</t>
  </si>
  <si>
    <t>PIA</t>
  </si>
  <si>
    <t>PIM</t>
  </si>
  <si>
    <t>EJEC</t>
  </si>
  <si>
    <t>0058: ACCESO DE LA POBLACION A LA PROPIEDAD PREDIAL FORMALIZADA</t>
  </si>
  <si>
    <t>0068: REDUCCION DE VULNERABILIDAD Y ATENCION DE EMERGENCIAS POR DESASTRES</t>
  </si>
  <si>
    <t>0082: PROGRAMA NACIONAL DE SANEAMIENTO URBANO</t>
  </si>
  <si>
    <t>0083: PROGRAMA NACIONAL DE SANEAMIENTO RURAL</t>
  </si>
  <si>
    <t>0109: NUESTRAS CIUDADES</t>
  </si>
  <si>
    <t>0111: APOYO AL HABITAT RURAL</t>
  </si>
  <si>
    <t>0146: ACCESO DE LAS FAMILIAS A VIVIENDA Y ENTORNO URBANO ADECUADO</t>
  </si>
  <si>
    <t>(*) Proyección al 31/12/2022</t>
  </si>
  <si>
    <t>(**) Proyecto 2023</t>
  </si>
  <si>
    <t>TOTAL S/</t>
  </si>
  <si>
    <t>RECURSOS PUBLICOS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</si>
  <si>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</si>
  <si>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</si>
  <si>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</si>
  <si>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</si>
  <si>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</si>
  <si>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</si>
  <si>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</si>
  <si>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</si>
  <si>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</si>
  <si>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</si>
  <si>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</si>
  <si>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>SUB TOTAL SER. DEUDA</t>
  </si>
  <si>
    <t>S/.</t>
  </si>
  <si>
    <t>EST. %</t>
  </si>
  <si>
    <t>1. RECURSOS ORDINARIOS</t>
  </si>
  <si>
    <t>2. RECURSOS DIRECTAM. RECAUD.</t>
  </si>
  <si>
    <t>FUNCIONES</t>
  </si>
  <si>
    <t>PPTO (PIA)</t>
  </si>
  <si>
    <t>GASTOS CORRIENTES */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</si>
  <si>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</si>
  <si>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</si>
  <si>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</si>
  <si>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</si>
  <si>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</si>
  <si>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</si>
  <si>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</si>
  <si>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</si>
  <si>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</si>
  <si>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NUEVOS SOLES</t>
  </si>
  <si>
    <t>6 Justicia</t>
  </si>
  <si>
    <t>PPTO 2021 (PIM)</t>
  </si>
  <si>
    <t>BIENES DISTRIBUCION GRATUITA</t>
  </si>
  <si>
    <t>(PIA) = Presupuesto Institucional de Apertura</t>
  </si>
  <si>
    <t>(**) Recursos Públicos / Recursos Ordinarios / Recursos Directamente Recaudados / Donaciones  y  Transferencias / Operaciones Oficiales de Crédito/ Recursos Determinados</t>
  </si>
  <si>
    <t>ADQUISICIONES/CONTRATACIONES/OBRAS</t>
  </si>
  <si>
    <t>MODALIDAD</t>
  </si>
  <si>
    <t>FECHA DE SUSCRIPCION DEL CONTRATO</t>
  </si>
  <si>
    <t>AMPLIACION DE PLAZO</t>
  </si>
  <si>
    <t>FECHA DE ENTREGA</t>
  </si>
  <si>
    <t>FECHA PROG. CONV.</t>
  </si>
  <si>
    <t>MONTO</t>
  </si>
  <si>
    <t>OBSERVACIONES</t>
  </si>
  <si>
    <t>CONSULTORIAS</t>
  </si>
  <si>
    <t>PERSONA NATURAL (DNI)</t>
  </si>
  <si>
    <t>EJECUCIÓN S/</t>
  </si>
  <si>
    <t xml:space="preserve">TOTAL </t>
  </si>
  <si>
    <t>UNIDAD EJECUTORA</t>
  </si>
  <si>
    <t>BANCO / INSTITUCIÓN FINANCIERA</t>
  </si>
  <si>
    <t>FECHA DE APERTURA</t>
  </si>
  <si>
    <t>MONEDA</t>
  </si>
  <si>
    <t>SALDO 2021 (*)</t>
  </si>
  <si>
    <t>(*) Saldo al 31 de Diciembre de 2021</t>
  </si>
  <si>
    <t>CONTRATANTE</t>
  </si>
  <si>
    <t>CONTRATADO</t>
  </si>
  <si>
    <t>FUENTE DE FINANCIAMIENTO</t>
  </si>
  <si>
    <t>TIPO DE CONTRATO</t>
  </si>
  <si>
    <t>FUNCIÓN DESEMPEÑADA</t>
  </si>
  <si>
    <t xml:space="preserve">CONTRAPRESTACIÓN MENSUAL </t>
  </si>
  <si>
    <t>DNI</t>
  </si>
  <si>
    <t>Apellidos y Nombres</t>
  </si>
  <si>
    <t>Profesión</t>
  </si>
  <si>
    <t>Grado Academico</t>
  </si>
  <si>
    <t>Titulo Profesióonal, Técncio o Capacitación Ocupacional</t>
  </si>
  <si>
    <t>Numero de contratos o renovaciones</t>
  </si>
  <si>
    <t>Meses Ejecutados</t>
  </si>
  <si>
    <t>Monto Ejecutado</t>
  </si>
  <si>
    <t>ARRENDATARIO</t>
  </si>
  <si>
    <t>ARRENDADOR</t>
  </si>
  <si>
    <t>INMUEBLE</t>
  </si>
  <si>
    <t>CONTRATO</t>
  </si>
  <si>
    <t>Apellidos y Nombres o Denominación</t>
  </si>
  <si>
    <t>DNI O PARTIDA REGISTRAL</t>
  </si>
  <si>
    <t>BIEN PROPIO DE TERCEROS O AJENO</t>
  </si>
  <si>
    <t>PARTIDA REGISTRAL DE INCRIPCION DE PROPIEDAD</t>
  </si>
  <si>
    <t>METROS CUADRADOS</t>
  </si>
  <si>
    <t>COCHERAS</t>
  </si>
  <si>
    <t>OTROS</t>
  </si>
  <si>
    <t>VIGENCIA DEL CONTRATO</t>
  </si>
  <si>
    <t>MONTO MENSUAL</t>
  </si>
  <si>
    <t xml:space="preserve">FORMA DE PAGO (MENSUAL O ANUAL) Y FECHA DE PAGO </t>
  </si>
  <si>
    <t>RESULTADOS (Poblacion beneficiaria directa, Etc.)</t>
  </si>
  <si>
    <t>GASTO CAPITAL 2023</t>
  </si>
  <si>
    <t>GASTO CORRIENTE 2023</t>
  </si>
  <si>
    <t>SERVICIO DE DEUDA 2023</t>
  </si>
  <si>
    <t>Var. % (2022-2023)</t>
  </si>
  <si>
    <t>2022*</t>
  </si>
  <si>
    <t>2023**</t>
  </si>
  <si>
    <t>FORMATO 01: PRESUPUESTO Y RESULTADOS DE INDICADORES DE LOS OBJETIVOS ESTRATÉGICOS INSTITUCIONALES DEL 2021 AL 2023</t>
  </si>
  <si>
    <t>FORMATO 05: EJECUCION Y RESULTADOS DE PROGRAMAS PRESUPUESTALES 2021, 2022 Y PROYECCION  2023</t>
  </si>
  <si>
    <t>PPTO 2021
(PIA)</t>
  </si>
  <si>
    <t>PPTO 2022 
(PIA)</t>
  </si>
  <si>
    <t>PPTO 2023 (PROYECTO)</t>
  </si>
  <si>
    <t>PPTO 2022
(PIM 31 AGTO)</t>
  </si>
  <si>
    <t>Monto Diferencial PIA (2022-2021)</t>
  </si>
  <si>
    <t>Diferencia PIA (2023-2022)</t>
  </si>
  <si>
    <t>Variación % (2022-2021)/ 100</t>
  </si>
  <si>
    <t>Variación % (2023-2022)/ 100</t>
  </si>
  <si>
    <t>MONTO DE LA INVERSION Y/O CONTRATO (*)</t>
  </si>
  <si>
    <t>NOMBRE DE LA INVERSION      (Proyecto o IOAAR, Etc. )</t>
  </si>
  <si>
    <t>SALDO DE LA INVERSION O DEL  CONTRATO                 AL 31.12.2022</t>
  </si>
  <si>
    <t>(Solo montos mayores a S/ 1 Millon de Soles)</t>
  </si>
  <si>
    <t>EJECUCION  PROYECTADA DE LA INVERSION O DEL CONTRATO</t>
  </si>
  <si>
    <t>TIPO DE PROCEDIMIENTO DE SELECCIÓN</t>
  </si>
  <si>
    <t>NUMERO DEL PROCEDIMIENTO</t>
  </si>
  <si>
    <t>CONTRATISTA* (RUC y Denominacion)</t>
  </si>
  <si>
    <t>(*) Si es Consorcio consignar nombre y RUC de los integrantes</t>
  </si>
  <si>
    <t>(**) Proyección al 31/12/2022</t>
  </si>
  <si>
    <t>(***) Proyecto 2023</t>
  </si>
  <si>
    <t>EJECUCION DE LA INVERSION Y/O CONTRATO</t>
  </si>
  <si>
    <t xml:space="preserve">PLAZO DE EJECUCION </t>
  </si>
  <si>
    <t>INICIO DEL PROYECTO</t>
  </si>
  <si>
    <t>TERMINO DEL PROYECTO</t>
  </si>
  <si>
    <t>ADICIONALES Y DEDUCTIVOS</t>
  </si>
  <si>
    <t>INICIO</t>
  </si>
  <si>
    <t>TERMINO</t>
  </si>
  <si>
    <t>MONTO NETO</t>
  </si>
  <si>
    <t>CULMINACION DE OBRA</t>
  </si>
  <si>
    <t>ACTA DE RECEPCION DE OBRA</t>
  </si>
  <si>
    <t>LIQUIDACION DE OBRA</t>
  </si>
  <si>
    <t>SALDO DE LA INVERSION O CONTRATO AL 31.12.2023</t>
  </si>
  <si>
    <t>Años siguientes</t>
  </si>
  <si>
    <t xml:space="preserve">FECHA DE </t>
  </si>
  <si>
    <t>Codigo Unico de Inversion (CUI)</t>
  </si>
  <si>
    <t>Sub total 2022</t>
  </si>
  <si>
    <t>Sub total 2021</t>
  </si>
  <si>
    <t>Sub total 2023</t>
  </si>
  <si>
    <t>PERSONA JURIDICA* (RUC)</t>
  </si>
  <si>
    <t>PPTO 2021 (AL 31/12)</t>
  </si>
  <si>
    <t>PPTO 2022 (AL 30/06)</t>
  </si>
  <si>
    <t>PPTO 2023 (PROYECCI{ON 31/12)</t>
  </si>
  <si>
    <t>MONTO DE LA CONSULTORIA</t>
  </si>
  <si>
    <t>ESPECIALIDAD (***)</t>
  </si>
  <si>
    <t>ENTREGABLES DE LA CONSULTORIA(**)</t>
  </si>
  <si>
    <t>(**) Producto final o entregable de la Consultoria</t>
  </si>
  <si>
    <t>(***) Para registrar la Especialidad se toma en cuenta una o mas de las 25 Funciones del Clasificador Funcional Programatico.</t>
  </si>
  <si>
    <t>CUENTA N°</t>
  </si>
  <si>
    <t>DATOS DE LAS CUENTAS</t>
  </si>
  <si>
    <t>FUENTES DE FINANCIAMIENTO</t>
  </si>
  <si>
    <t>SALDO 2022 (**)</t>
  </si>
  <si>
    <t>(**) Saldo al 30 de Junio de 2022</t>
  </si>
  <si>
    <t>AÑO FISCAL 2021</t>
  </si>
  <si>
    <t>AÑO FISCAL 2022 (*)</t>
  </si>
  <si>
    <t>(*) Al 30 de junio de 2022</t>
  </si>
  <si>
    <t>(*) = Al 30 de junio de 2022</t>
  </si>
  <si>
    <t>EJECUCIÓN 2021</t>
  </si>
  <si>
    <t>EJECUCIÓN 2022 (*)</t>
  </si>
  <si>
    <t>ADQUISICIÓNES</t>
  </si>
  <si>
    <t>MONTO S/</t>
  </si>
  <si>
    <t>ESTADO DEL PROCECEDIMIENTO</t>
  </si>
  <si>
    <t>FORMATO 02: DISTRIBUCIÓN DEL GASTO POR PLIEGOS Y SUS UNIDADES EJECUTORAS POR TODA FUENTES DE FINANCIAMIENTO - PROYECTO 2023</t>
  </si>
  <si>
    <t>FORMATO 03: RESUMEN POR GRUPO GENÉRICO Y FUENTES DE FINANCIAMIENTO PROYECTO 2023</t>
  </si>
  <si>
    <t>FORMATO 04: RESUMEN DE PRESUPUESTO POR FUNCIONES PIA 2021, 2022 Y  2023 (Proyectado)</t>
  </si>
  <si>
    <t>FORMATO 06: ASIGNACIÓN DE BIENES Y SERVICIOS - COMPARATIVO PRESUPUESTO 2021, 2022 Y PROYECTO 2023</t>
  </si>
  <si>
    <t>FORMATO 07: ADQUISICIONES DE BIENES Y CONTRATACIONES DE SERVICIOS - PRESUPUESTO 2021, 2022 Y PROYECTO 2023</t>
  </si>
  <si>
    <t>FORMATO 08: DETALLE DE CONSULTORIAS PERSONAS JURÍDICAS (Mayores a S/ 100, 000) Y NATURALES (Mayores a 50, 000) - PRESUPUESTO 2021, 2022 y 2023</t>
  </si>
  <si>
    <t>FORMATO 09: ALQUILER DE INMUEBLES EN LOS AÑOS FISCALES 2021 Y 2022</t>
  </si>
  <si>
    <t>FORMATO 10: CONTRATOS DE OBRAS SUSCRITOS EN LOS AÑOS 2021, 2022 Y 2023</t>
  </si>
  <si>
    <t>FORMATO 11: NOMBRES E INGRESOS MENSUALES DEL PERSONAL CONTRATADO FUERA DEL PAP EN LOS AÑOS FISCALES 2021 Y 2022</t>
  </si>
  <si>
    <t>FORMATO 12: RESUMEN DE TESORERIA POR UNIDAD EJECUTORA Y FUENTES DE FINANCIAMIENTO 2021 Y 2022</t>
  </si>
  <si>
    <t>RUBROS*</t>
  </si>
  <si>
    <t>(*) Las cifras deben coicidir con los montos asignados en la GENERICA 3. BIENES Y SERVICIOS consideradas en el Presupuesto de los años Fiscales 2021 - 2022 - 2023</t>
  </si>
  <si>
    <t>DATOS DEL PRESUPUESTO*: (1) CONSOLIDADO Y (2) POR TODA FUENTE DE FINANCIAMIENTO**</t>
  </si>
  <si>
    <t xml:space="preserve">PIM </t>
  </si>
  <si>
    <t>Monto Asignado</t>
  </si>
  <si>
    <t>% ejecutado</t>
  </si>
  <si>
    <t>(**) = Proyectado</t>
  </si>
  <si>
    <t>AÑO FISCAL 2023(**)</t>
  </si>
  <si>
    <t>(**) Proyectado</t>
  </si>
  <si>
    <t>Meses Estimado</t>
  </si>
  <si>
    <t>OTROS BB Y SS</t>
  </si>
  <si>
    <t>NO APLICA</t>
  </si>
  <si>
    <t>Var. %         (2022-2023)</t>
  </si>
  <si>
    <t>TRIBUNAL CONSTITUCIONAL</t>
  </si>
  <si>
    <t>0201 TRIBUNAL CONSTITUCIONAL</t>
  </si>
  <si>
    <t>ALIMENTOS DE PERSONAS (23.11.11)</t>
  </si>
  <si>
    <t>ALQUILERES DE ESDIFICACIONES, OFICINAS Y ESTRUCTURAS (23.2511 -12-1.99)</t>
  </si>
  <si>
    <t>PAPELERIA EN GENERAL, UTILES Y MATERIALES DE OFICINA (23.15.12)</t>
  </si>
  <si>
    <t>SEMINARIOS TALLERES Y SIMILARES ORGANIZADOS POR LA INSTITUCION (23.27.10.1-2-99)</t>
  </si>
  <si>
    <t>SERVICIO DE CAPACITACION Y PERFECCIONAMIENTO (23.27.31)</t>
  </si>
  <si>
    <t>COMBUSTIBLE, CARBURANTES, LUBRICANTES Y AFINES (23.13.11)</t>
  </si>
  <si>
    <t>CONTRATACION CON EMPRESAS DE SERVICIOS (23.12) (23.27.13.5 - 23.27.14.5)</t>
  </si>
  <si>
    <t>CONTRATO ADMINISTRATIVO DE SERVICIOS (23.28)</t>
  </si>
  <si>
    <t>SERVICIOS DIVERSOS (23.27.11.99) (23.27.52)</t>
  </si>
  <si>
    <t>REPUESTOS Y ACCESORIOS (23.16)</t>
  </si>
  <si>
    <t>SERVICIO DE CONSULTORIA REALIZADOS PERSONAS NATURALES (23.27.2)</t>
  </si>
  <si>
    <t>SERVICIOS DE CONSULTORIAS REALIZADOS PERSONAS JURIDICAS (23.27.1)</t>
  </si>
  <si>
    <t>SERVICIO DE MANTENIMIENTO, ACONDICIONAMIENTO Y REPARA (23.24)</t>
  </si>
  <si>
    <t>SERVICIOS ADMINISTRATIVOS, FINANCIEROS Y DE SEGUROS (23.26.2)</t>
  </si>
  <si>
    <t>SEGUROS (23.26.3)</t>
  </si>
  <si>
    <t>SERVICIOS BASICOS (23.22)</t>
  </si>
  <si>
    <t>PUBLICIDAD (23.22.51) Difusion en el diario oficial</t>
  </si>
  <si>
    <t>SERVICIOS DE LIMPIEZA (23.23.11)</t>
  </si>
  <si>
    <t>SERVICIOS DE SEGURIDAD Y VIGILANCIA (23.23.12)</t>
  </si>
  <si>
    <t>OTROS SERVICIOS DE INFORMATICA (23.27.41-23.27.4.99)</t>
  </si>
  <si>
    <t>SOPORTE TECNICO (23.27.4.3)</t>
  </si>
  <si>
    <t>SUMINISTROS MEDICOS (23.18.12-23.18.21)</t>
  </si>
  <si>
    <t>PASAJES (23.21.11 23.21.21)</t>
  </si>
  <si>
    <t>VIATICOS Y ASIGNACIONES (23.21.12-23.21.22)</t>
  </si>
  <si>
    <t>OTROS GASTOS (MOVILIDAD) (23.21.1.99-23.21.2.99)</t>
  </si>
  <si>
    <t>LOCACIÓN DE SERVICIOS RELACIONADAS AL ROL DE LA ENTIDAD (23.29.11)</t>
  </si>
  <si>
    <t>1. Contrato de servicio de vigilancia de los locales del Tribunal Constitucional</t>
  </si>
  <si>
    <t>Concurso Público</t>
  </si>
  <si>
    <t>S/M</t>
  </si>
  <si>
    <t>001-2021-TC</t>
  </si>
  <si>
    <t>20546468101: Grupo Gurkas S.A.C.</t>
  </si>
  <si>
    <t>Concluido</t>
  </si>
  <si>
    <t>Mensual</t>
  </si>
  <si>
    <t>Vigencia: Del 01/07/2021 hasta 30/06/2024</t>
  </si>
  <si>
    <t>2. Seguros patrimoniales y personales para el Tribunal Constitucional, ítem pqt 2: Seguros personales (Fola, Vida Ley, Asitencia Médica)</t>
  </si>
  <si>
    <t>002-2021-TC</t>
  </si>
  <si>
    <t>20100041953: Rímac Seguros y Reaseguros</t>
  </si>
  <si>
    <t>Vigencia: Del 17/05/2021 hasta 16/05/2022</t>
  </si>
  <si>
    <t>3. Seguros patrimoniales y personales para el Tribunal Constitucional, ítem pqt 2: Seguros personales (Multiriesgo, 3D, Vehículos)</t>
  </si>
  <si>
    <t>Pago único</t>
  </si>
  <si>
    <t>Vigencia: Del 15/06/2021 hasta 15/06/2022</t>
  </si>
  <si>
    <t>4. Contrato de servicio de alojamiento de HOSTING seguridad y respaldo de aplicaciones WEB y archivos basados en la nube (CLOUD COMPUTING) en la modalidad de plataforma como servicio (PAAS)</t>
  </si>
  <si>
    <t>Adjudicación Simplificada</t>
  </si>
  <si>
    <t xml:space="preserve">20508555033: Asesoria Comunicacional de Vanguardia E.I.R.L. </t>
  </si>
  <si>
    <t>Vigencia: Del 26/06/2021 hasta 25/06/2022</t>
  </si>
  <si>
    <t>5. Servicio de renovación y ampliación de licencias de la plataforma de comunicación, colaboración y mensajería electrónica en la nebe para el Tribunal Constitucional denominado GOOGLE BASIC o google workspace business</t>
  </si>
  <si>
    <t>006-2021-TC</t>
  </si>
  <si>
    <t>20600708067: Arpynet S.A.C.</t>
  </si>
  <si>
    <t>Vigencia: Del 27/12/2021 hasta 26/12/2022</t>
  </si>
  <si>
    <t>6. Servicio de telefonía y acceso a internet móvil para el Tribunal Constitucional</t>
  </si>
  <si>
    <t>007-2021-TC</t>
  </si>
  <si>
    <t>20106897914: Entel Perú S.A.</t>
  </si>
  <si>
    <t>Vigencia: Del 09/04/2022 hasta 0804/2024</t>
  </si>
  <si>
    <t>7. Servicio de mensajería local, nacional e internacional para el Tribunal Constitucional</t>
  </si>
  <si>
    <t>003-2021-TC</t>
  </si>
  <si>
    <t>20387377167: Macro Post S.A.C.</t>
  </si>
  <si>
    <t>Vigencia: Del 07/01/2022 hasta 06/01/2023</t>
  </si>
  <si>
    <t>10. Servicio de acceso a Internet y Seguridad Perimetral (FIREWALL) para el Tribunal Constitucional</t>
  </si>
  <si>
    <t>001-2022-TC</t>
  </si>
  <si>
    <t>20552504641: Optical Technolohies S.A.C.</t>
  </si>
  <si>
    <t>Vigencia: Del 11/06/2022 hasta 10/06/2025</t>
  </si>
  <si>
    <t>11. Suministro de Combustible</t>
  </si>
  <si>
    <t>Subasta Inversa Electrónica</t>
  </si>
  <si>
    <t>001-2022-TC-2</t>
  </si>
  <si>
    <t>20511995028: Terpel Perú S.A.C.</t>
  </si>
  <si>
    <t>Vigencia: Del 23/05/2022 hasta 22/05/2023</t>
  </si>
  <si>
    <t>12. Servicio de alojamiento de HOSTING, seguridad y respaldo de aplicaciones WEB y archivos basados en la nube (CLOUD COMPUTING) en la modalidad de plataforma como servicio (PAAS)</t>
  </si>
  <si>
    <t>002-2022-TC</t>
  </si>
  <si>
    <t>Vigencia: Del 26/06/2022 hasta 25/06/2023</t>
  </si>
  <si>
    <t>13. Seguros patrimoniales y personales para el Tribunal Constitucional, ítem PQT 1: Patrimoniales (Multiriesgo, 3D, Vehículos)</t>
  </si>
  <si>
    <t>Vigencia: Del 01/08/2022 hasta 01/08/2023</t>
  </si>
  <si>
    <t>14. Seguros patrimoniales y personales para el Tribunal Constitucional, ítem PQT 2: Personales (Formación Laboral, Vida Ley, Asistencia Médica Colectiva)</t>
  </si>
  <si>
    <t>Vigencia: Del 01/08/2022 hasta 31/07/2023</t>
  </si>
  <si>
    <r>
      <t xml:space="preserve">15. Servicio de limpieza y fumigación para las Instalaciones del Tribunal Constituccional </t>
    </r>
    <r>
      <rPr>
        <vertAlign val="superscript"/>
        <sz val="9"/>
        <rFont val="Arial"/>
        <family val="2"/>
      </rPr>
      <t>(ii)</t>
    </r>
  </si>
  <si>
    <t>Programado en el PAC-2022</t>
  </si>
  <si>
    <r>
      <t xml:space="preserve">16. Serivicio de renovación de licencias de la plataforma de cpmunicación, colaboración y mensajería electrónica en la nube para el Tribunal Constitucional </t>
    </r>
    <r>
      <rPr>
        <vertAlign val="superscript"/>
        <sz val="9"/>
        <rFont val="Arial"/>
        <family val="2"/>
      </rPr>
      <t>(ii)</t>
    </r>
  </si>
  <si>
    <r>
      <t>17. Servicio de mensajeria local, nacional e internacional para el Tribunal Constitucional</t>
    </r>
    <r>
      <rPr>
        <vertAlign val="superscript"/>
        <sz val="9"/>
        <rFont val="Arial"/>
        <family val="2"/>
      </rPr>
      <t>(ii)</t>
    </r>
  </si>
  <si>
    <r>
      <t>18. Adquisición de 25 monitores con accesorios para video conferencia</t>
    </r>
    <r>
      <rPr>
        <vertAlign val="superscript"/>
        <sz val="9"/>
        <rFont val="Arial"/>
        <family val="2"/>
      </rPr>
      <t>(ii)</t>
    </r>
  </si>
  <si>
    <t>Compras por catálogo (convenio Marco)</t>
  </si>
  <si>
    <t>20. Seguros patrimoniales y personales para el Tribunal Constitucional, ítem PQT 1: Patrimoniales (Multiriesgo, 3D, Vehículos), ítem PQT 2: Personales (Formación Laboral, Vida Ley, Asistencia Médica Colectiva)</t>
  </si>
  <si>
    <t>Proyectado para 2023</t>
  </si>
  <si>
    <t>21. Servicio de mensajeria local, nacional e internacional para el Tribunal Constitucional</t>
  </si>
  <si>
    <t>22. Servicio de renovación y ampliación de licencias de la plataforma de comunicación, colaboración y mensajería electrónica en la nebe para el Tribunal Constitucional denominado GOOGLE BASIC o google workspace business</t>
  </si>
  <si>
    <t>23. Suministro de Combustible</t>
  </si>
  <si>
    <t>24. Servicio de alojamiento de HOSTING, seguridad y respaldo de aplicaciones WEB y archivos basados en la nube (CLOUD COMPUTING) en la modalidad de plataforma como servicio (PAAS)</t>
  </si>
  <si>
    <t>(i) Artículo 5º literal A, Artículos 22º al 25º de la Ley de Contrataciones el Estado, Ley Nº 30225 y artículos 32º y 76º del Reglamento aprobado mediante Decreto Supremo Nº 350-2015-EF, y al Artículo 17º del la Ley N.º 31365 que aprueba el presupuesto del sector público para el año fiscal 2022 y Decreto Supremo No 398-2021-EF, publicado en el diario oficial El Peruano el día 30.12.2021. Topes mínimos (S/ 41,400) modificados por Artículo N°3 del Decreto de Urgencia N°016-2022, publicado en el diario oficial El Peruano el día 27.06.2022.</t>
  </si>
  <si>
    <t>(ii)  Procedimientos de selección por convocar y compras por efectuar.</t>
  </si>
  <si>
    <t>(*) Si es Consorcio consignar nombre y RUC de los integrantes.</t>
  </si>
  <si>
    <t>BANCO DE LA NACION</t>
  </si>
  <si>
    <t>00-000-282782</t>
  </si>
  <si>
    <t>SOLES</t>
  </si>
  <si>
    <t>Tribunal Constitucional</t>
  </si>
  <si>
    <t>Tesoro Publico</t>
  </si>
  <si>
    <t>Contrato Administrativo de servicios</t>
  </si>
  <si>
    <t xml:space="preserve">Técnico en Abogacía </t>
  </si>
  <si>
    <t>AGUIRRE AVILES OSCAR EDGAR</t>
  </si>
  <si>
    <t>Abogado</t>
  </si>
  <si>
    <t>Bachiller</t>
  </si>
  <si>
    <t>TECNICO</t>
  </si>
  <si>
    <t>7 meses , 13 Dias</t>
  </si>
  <si>
    <t>6 meses</t>
  </si>
  <si>
    <t>Abogada II</t>
  </si>
  <si>
    <t xml:space="preserve">ALCANTARA TORRES RUBI </t>
  </si>
  <si>
    <t xml:space="preserve">Titulo Profesional </t>
  </si>
  <si>
    <t>PROFESIONAL</t>
  </si>
  <si>
    <t>7 meses 6 días</t>
  </si>
  <si>
    <t>Analista de Recursos Humanos</t>
  </si>
  <si>
    <t xml:space="preserve">ARCE ROBLE, ELIZABETH LILIA </t>
  </si>
  <si>
    <t>Psicologa</t>
  </si>
  <si>
    <t>4 meses  5 dias</t>
  </si>
  <si>
    <t>Especialista en Gestion de la Capacitacion y Relaciones Humanas</t>
  </si>
  <si>
    <t>6 meses ,24 dias</t>
  </si>
  <si>
    <t>5 meses 24 días</t>
  </si>
  <si>
    <t>Técnico en Abogacía II</t>
  </si>
  <si>
    <t xml:space="preserve">AVILA ROMERO, JHONATHAN ALEXANDER </t>
  </si>
  <si>
    <t xml:space="preserve">Derecho </t>
  </si>
  <si>
    <t>Asistente</t>
  </si>
  <si>
    <t>BARTRA HUAMAN, LESLY ANALI</t>
  </si>
  <si>
    <t>4 meses 13 días</t>
  </si>
  <si>
    <t>Especialista en Servicios Generales</t>
  </si>
  <si>
    <t>BARRERA LA JARA JOHAN ABRAHAM</t>
  </si>
  <si>
    <t>Arquitecto</t>
  </si>
  <si>
    <t>Operador de Gestion Documental</t>
  </si>
  <si>
    <t>08676043</t>
  </si>
  <si>
    <t>BARRERA RICRA ELA SOFIA</t>
  </si>
  <si>
    <t>-</t>
  </si>
  <si>
    <t>AUXILIAR</t>
  </si>
  <si>
    <t>7 mes , 17 dias</t>
  </si>
  <si>
    <t>Analista de Selección e incorporacion de Personal</t>
  </si>
  <si>
    <t>BERNUY RODRIGUEZ KAREN YESENIA</t>
  </si>
  <si>
    <t>Administrador</t>
  </si>
  <si>
    <t>ANALISTA</t>
  </si>
  <si>
    <t xml:space="preserve">Abogado II </t>
  </si>
  <si>
    <t>BOLAÑOS SALAZAR, ELARD RICARDO</t>
  </si>
  <si>
    <t>1 mes</t>
  </si>
  <si>
    <t>Abogada</t>
  </si>
  <si>
    <t xml:space="preserve">CABEZAS POMA, ASTRID KELLY </t>
  </si>
  <si>
    <t>Abogado para el Pleno</t>
  </si>
  <si>
    <t>CACHO GUTIERREZ JORGE ARMANDO</t>
  </si>
  <si>
    <t>Especialista en Gestion de Recursos Humanos</t>
  </si>
  <si>
    <t>09600611</t>
  </si>
  <si>
    <t>CAMPOS CERNA, ROCIO MARLENE</t>
  </si>
  <si>
    <t>Comunicador</t>
  </si>
  <si>
    <t>Tecnico en Abogacia para la comision de Descarga  del Gabinete de Asesores juridiccionales</t>
  </si>
  <si>
    <t>CARBONEL ALVA MAURICIO ALONSO</t>
  </si>
  <si>
    <t>Abogada para la sala Primera</t>
  </si>
  <si>
    <t>CARHUARICRA HUAMAN MELVY TATIANA</t>
  </si>
  <si>
    <t>7 mes 11 dias</t>
  </si>
  <si>
    <t xml:space="preserve">Asistente en  Investigación </t>
  </si>
  <si>
    <t>70883593</t>
  </si>
  <si>
    <t xml:space="preserve">CARRASCO ISOLA CAROLINA MERCEDES </t>
  </si>
  <si>
    <t>Abogado para Despacho de Magistrado</t>
  </si>
  <si>
    <t>CAYOTOPA LUNA EDWARD HUMBERTO</t>
  </si>
  <si>
    <t>CCOILLO RIVERA CARLOS</t>
  </si>
  <si>
    <t>7 mes, 17 dias</t>
  </si>
  <si>
    <t xml:space="preserve">Auxiliar Administrativo </t>
  </si>
  <si>
    <t>46058627</t>
  </si>
  <si>
    <t>CHAMPA ANTON, CHRISTIAN ALEXANDER</t>
  </si>
  <si>
    <t>Economía</t>
  </si>
  <si>
    <t>Estudiante</t>
  </si>
  <si>
    <t>Tecnico para la Sala Segunda</t>
  </si>
  <si>
    <t>CHAVEZ ALVAREZ MARIEL LISBETH</t>
  </si>
  <si>
    <t>7 Mes 11 dias</t>
  </si>
  <si>
    <t>Chofer</t>
  </si>
  <si>
    <t>09768060</t>
  </si>
  <si>
    <t>CHUQUILLANQUI CHIHUAN DEMETRIO</t>
  </si>
  <si>
    <t>COLQUE LIZARRAGA ALBERTO</t>
  </si>
  <si>
    <t>7 Mes 25 Dias</t>
  </si>
  <si>
    <t>CORREA GUTIERREZ KARLIETE CATHERINE</t>
  </si>
  <si>
    <t>7 Mes 17 Dias</t>
  </si>
  <si>
    <t xml:space="preserve">Secretaria </t>
  </si>
  <si>
    <t>40481457</t>
  </si>
  <si>
    <t>CRUZADO LAZARO CARLA FIORELLA DE LOS ANGELES</t>
  </si>
  <si>
    <t>Secretariado</t>
  </si>
  <si>
    <t>Técnico</t>
  </si>
  <si>
    <t>Asistente Administrativo en Gestion de Recursos Humano</t>
  </si>
  <si>
    <t>DAGACHE REAÑO JESSENIA MARIA</t>
  </si>
  <si>
    <t>Contador Publico</t>
  </si>
  <si>
    <t>7 Mes 19 Dias</t>
  </si>
  <si>
    <t xml:space="preserve">Asistente Administrativo </t>
  </si>
  <si>
    <t xml:space="preserve">DEL RIO PARRA, CARLOS ALBERTO </t>
  </si>
  <si>
    <t>2 Mese 1 dia</t>
  </si>
  <si>
    <t>Especialista en Contrataciones del Estado</t>
  </si>
  <si>
    <t>9 Meses 28 dias</t>
  </si>
  <si>
    <t>Analista en Contrataciones del Estado</t>
  </si>
  <si>
    <t>DELGADO EGOAVIL JONATHAN RODRIGO</t>
  </si>
  <si>
    <t>Profesional en Auditoría Gubernamental</t>
  </si>
  <si>
    <t>DIAZ PADILLA, DANTE EDMUNDO</t>
  </si>
  <si>
    <t>ESPIRITU ARTERA EVI</t>
  </si>
  <si>
    <t>1 Mes 26 Dias</t>
  </si>
  <si>
    <t>Asistente de Mantenimiento</t>
  </si>
  <si>
    <t>FALCON ASTUQUIPAN, EVERTH</t>
  </si>
  <si>
    <t>ASISTENTE</t>
  </si>
  <si>
    <t>Tecnico para la Sala Primera</t>
  </si>
  <si>
    <t>09535229</t>
  </si>
  <si>
    <t>FERNANDEZ BUITRON JOSE OCTAVIO</t>
  </si>
  <si>
    <t>Historiador</t>
  </si>
  <si>
    <t>2 Meses 2 Dias</t>
  </si>
  <si>
    <t>Abogado para la Sala Primera</t>
  </si>
  <si>
    <t>FONSECA MARQUILLO KIARA MELISSA</t>
  </si>
  <si>
    <t>7 Mes 11 Dias</t>
  </si>
  <si>
    <t xml:space="preserve">GARCIA ALTAMIRANO, MARTIN VICENTE </t>
  </si>
  <si>
    <t>Abogado para la Oficina de Sistematizacion de la Jurisprudencia</t>
  </si>
  <si>
    <t>GARCIA SANCHEZ MARCO ANTONIO</t>
  </si>
  <si>
    <t>Analista de Sistemas</t>
  </si>
  <si>
    <t>48091151</t>
  </si>
  <si>
    <t xml:space="preserve">GARCIA REYES, CHRISTIAN ANDERSON </t>
  </si>
  <si>
    <t>Ing. Sistemas</t>
  </si>
  <si>
    <t>Lingüista</t>
  </si>
  <si>
    <t>07416362</t>
  </si>
  <si>
    <t xml:space="preserve">GARCIA YSLA EUGENIO MARIO </t>
  </si>
  <si>
    <t xml:space="preserve">Chofer </t>
  </si>
  <si>
    <t>07394529</t>
  </si>
  <si>
    <t xml:space="preserve">GONZALES PALOMARES CARLOS FRANCISCO </t>
  </si>
  <si>
    <t xml:space="preserve">Especialista en comunicación Audiovisual </t>
  </si>
  <si>
    <t>GUERRA MOLINA, CHRISTIAN MICHAELL</t>
  </si>
  <si>
    <t>6 meses 14 días</t>
  </si>
  <si>
    <t>Asistente PAD</t>
  </si>
  <si>
    <t>GUZMAN CHAVEZ, ANDREA DENNISSE</t>
  </si>
  <si>
    <t>TÉCNICO</t>
  </si>
  <si>
    <t>Tecnico en Computaciòn e Informatica</t>
  </si>
  <si>
    <t>HORNA LEON BORIS</t>
  </si>
  <si>
    <t>Tecnico en Computaciòn</t>
  </si>
  <si>
    <t>7 Mes 23 Dias</t>
  </si>
  <si>
    <t>HUASASQUICHE NIMA VIRNA MARIA CAROLINA</t>
  </si>
  <si>
    <t xml:space="preserve">Abogado </t>
  </si>
  <si>
    <t>45604084</t>
  </si>
  <si>
    <t xml:space="preserve">LA TORRE ALIAGA, LUIS MIGUEL </t>
  </si>
  <si>
    <t>LEON BARANDIARAN MULANOVICH JOSE AUGUSTO</t>
  </si>
  <si>
    <t>7 Mes 21 Dias</t>
  </si>
  <si>
    <t>3 meses</t>
  </si>
  <si>
    <t>10116041</t>
  </si>
  <si>
    <t>LESCANO  VDA DE DE LOS RIOS, MARIA ESTHER</t>
  </si>
  <si>
    <t xml:space="preserve">Asistente en Investigación y Documentación </t>
  </si>
  <si>
    <t>46565788</t>
  </si>
  <si>
    <t xml:space="preserve">LORENZO QUILLA, NORA </t>
  </si>
  <si>
    <t>4 meses 3 días</t>
  </si>
  <si>
    <t xml:space="preserve">Tecnico en Abogacia  </t>
  </si>
  <si>
    <t>LUCANA CARITA SADY DANEXA</t>
  </si>
  <si>
    <t>3 meses 28 días</t>
  </si>
  <si>
    <t>LUNA MIRANDA VANESSA ALEXANDRA</t>
  </si>
  <si>
    <t>8 Meses 2 Dias</t>
  </si>
  <si>
    <t>Especialista en Contrataciones Públicas II</t>
  </si>
  <si>
    <t>MAMANI UCHASARA, SANTIAGO</t>
  </si>
  <si>
    <t>Contador Público</t>
  </si>
  <si>
    <t>MANRIQUE GOMEZ ANGIE ESTEFANIA</t>
  </si>
  <si>
    <t>1 Mes 25 Dias</t>
  </si>
  <si>
    <t xml:space="preserve">MARCHAN CARLOS, STEFANNY NELIDA </t>
  </si>
  <si>
    <t xml:space="preserve">Abogado I </t>
  </si>
  <si>
    <t>45344191</t>
  </si>
  <si>
    <t xml:space="preserve">MENDOZA OCHOA, RONALD MARCIAL </t>
  </si>
  <si>
    <t>Analista II</t>
  </si>
  <si>
    <t>08323388</t>
  </si>
  <si>
    <t>MENDOZA ZAMORA LUIS</t>
  </si>
  <si>
    <t>44081905</t>
  </si>
  <si>
    <t xml:space="preserve">MEZA FIGUEROA MOSI MARCELA </t>
  </si>
  <si>
    <t>Auxiliar en Proceso Gestion Documental</t>
  </si>
  <si>
    <t>MOGOLLON CORTEZ RICARDO ANDRE</t>
  </si>
  <si>
    <t>Especialista de Sistematizacion de la Jurisprudencia</t>
  </si>
  <si>
    <t>MORALES SILVA SILVIA MILAGROS</t>
  </si>
  <si>
    <t>4 meses</t>
  </si>
  <si>
    <t>ÑAUPA CONTRERAS JORGE LUIS</t>
  </si>
  <si>
    <t>Auditor Gubernamental</t>
  </si>
  <si>
    <t>08799645</t>
  </si>
  <si>
    <t>OSTOLAZA ZAVALA GABRIELA LILIANA</t>
  </si>
  <si>
    <t>7 Mes 20 Dias</t>
  </si>
  <si>
    <t>PALACIOS URRUNAGA HUGO ALEJANDRO</t>
  </si>
  <si>
    <t>2 meses</t>
  </si>
  <si>
    <t>PALOMIN0 ALVAREZ ANDRES</t>
  </si>
  <si>
    <t>07622042</t>
  </si>
  <si>
    <t>PEÑA LUJAN MARCO ANTONIO</t>
  </si>
  <si>
    <t xml:space="preserve">Profesional en Ingeniería de Sistemas </t>
  </si>
  <si>
    <t xml:space="preserve">  41017015</t>
  </si>
  <si>
    <t>PEÑA ZAVALETA LUIS ANTONIO</t>
  </si>
  <si>
    <t xml:space="preserve">Técnico Administrativo </t>
  </si>
  <si>
    <t>08156945</t>
  </si>
  <si>
    <t>PEREDO PIAGGIO, JULISSA</t>
  </si>
  <si>
    <t>Egresado</t>
  </si>
  <si>
    <t>72423061</t>
  </si>
  <si>
    <t xml:space="preserve">PEREZ VILCHEZ, YON BERTOLT ROALD </t>
  </si>
  <si>
    <t>07134442</t>
  </si>
  <si>
    <t xml:space="preserve">PINEDO MINAYA , JOSÉ JORGE </t>
  </si>
  <si>
    <t>Tecnico para el Pleno</t>
  </si>
  <si>
    <t>PORTILLA BAZAN YANINA MARCELINA</t>
  </si>
  <si>
    <t>8 Mes 2 Dias</t>
  </si>
  <si>
    <t>PORTOCARRERO LOPEZ JOSE LUIS</t>
  </si>
  <si>
    <t>29616691</t>
  </si>
  <si>
    <t xml:space="preserve">QUISPE PONCE, MARÍA CANDELARIA </t>
  </si>
  <si>
    <t>41449685</t>
  </si>
  <si>
    <t>RAMIREZ-GASTÓN DURAN. JOSÉ C</t>
  </si>
  <si>
    <t>RAMIREZ MENDIETA FRANCISCO LUIS</t>
  </si>
  <si>
    <t>RIVAS ORMEÑO CRISTHOPER YHONATAN</t>
  </si>
  <si>
    <t>Asistente en Atencion al usuario</t>
  </si>
  <si>
    <t>ROBLES BERROCAL FLOR MARLENE</t>
  </si>
  <si>
    <t>Sistemas y Networking</t>
  </si>
  <si>
    <t>41152610</t>
  </si>
  <si>
    <t xml:space="preserve">RODRIGUEZ NEYRA  JILVER PEPE </t>
  </si>
  <si>
    <t>Asistente Administrativo</t>
  </si>
  <si>
    <t>46332447</t>
  </si>
  <si>
    <t>ROJAS MACEDO, JACQUELINE PAMELA</t>
  </si>
  <si>
    <t>Negocios Internacionales</t>
  </si>
  <si>
    <t>Tecnico Administrativo en archivo</t>
  </si>
  <si>
    <t>ROSALES GONZALES MIGUEL TOMAS</t>
  </si>
  <si>
    <t>Archivador</t>
  </si>
  <si>
    <t>Abogado I</t>
  </si>
  <si>
    <t>70285087</t>
  </si>
  <si>
    <t>RUIZ RIQUERO, JOSÉ HUMBERTO</t>
  </si>
  <si>
    <t>41772135</t>
  </si>
  <si>
    <t>SAENZ ASENCIOS, ALFREDO EDUARDO</t>
  </si>
  <si>
    <t>Analista I</t>
  </si>
  <si>
    <t>48126113</t>
  </si>
  <si>
    <t xml:space="preserve">SALVATIERRA CASTRO, MILAGROS </t>
  </si>
  <si>
    <t>Título</t>
  </si>
  <si>
    <t>5 Meses 1 Dia</t>
  </si>
  <si>
    <t>45335140</t>
  </si>
  <si>
    <t>SANCHEZ BENITES, ROSA ISABEL</t>
  </si>
  <si>
    <t xml:space="preserve">Técnico Digitalización </t>
  </si>
  <si>
    <t>10524634</t>
  </si>
  <si>
    <t xml:space="preserve">SEGURA GUTIERREZ, SHEILAH KATIA </t>
  </si>
  <si>
    <t>TORRES CALLE YORDAN EDISON</t>
  </si>
  <si>
    <t>1 Mes 11 Dias</t>
  </si>
  <si>
    <t>Especialista Administrativo</t>
  </si>
  <si>
    <t>TORRES MENDOZA JORNET GABRIELA</t>
  </si>
  <si>
    <t>Ingeniera en Gestion Empresarial</t>
  </si>
  <si>
    <t>Asistente Administrativo en RRHH</t>
  </si>
  <si>
    <t>47137765</t>
  </si>
  <si>
    <t>TORRES VILLANUEVA CHRISTIAN ARTURO</t>
  </si>
  <si>
    <t>Ing. Industrial</t>
  </si>
  <si>
    <t>TOYCO SUAREZ PIERO NICOLAS</t>
  </si>
  <si>
    <t>7 Mes 27 Dias</t>
  </si>
  <si>
    <t>06767479</t>
  </si>
  <si>
    <t xml:space="preserve">VELARDE DELGADO, TERESA CRISTINA </t>
  </si>
  <si>
    <t>VELIZ PEREZ KATIA JANETT</t>
  </si>
  <si>
    <t>Secretaria</t>
  </si>
  <si>
    <t>6 Mes 11 Dias</t>
  </si>
  <si>
    <t>Analista en Difusion y publicacion de la Jurisprudencia</t>
  </si>
  <si>
    <t>07622139</t>
  </si>
  <si>
    <t>VIDAL OLORTEGUI EFREN CESAR</t>
  </si>
  <si>
    <t>Ciencia de la Comunicación</t>
  </si>
  <si>
    <t>Especialista en Ejecucion Contratual</t>
  </si>
  <si>
    <t>VILCA CASTLLA JESUS</t>
  </si>
  <si>
    <t>Contador</t>
  </si>
  <si>
    <t>5 meses 13 dias</t>
  </si>
  <si>
    <t>Abogado para la Comision de Descarga del Gabinete de  Asesores Jurisdiccionales</t>
  </si>
  <si>
    <t>VILLALOBOS ROMERO SEBASTIAN ALEXIS</t>
  </si>
  <si>
    <t>VILLAR VIVANCO CARMEN DEL PILAR</t>
  </si>
  <si>
    <t>8 Mese 2 Dias</t>
  </si>
  <si>
    <t>77146195</t>
  </si>
  <si>
    <t xml:space="preserve">Técnico </t>
  </si>
  <si>
    <t>1 mes 28 días</t>
  </si>
  <si>
    <t>Analista</t>
  </si>
  <si>
    <t>47191832</t>
  </si>
  <si>
    <t>ZAGASTIZABAL DEL CASTILLO LUCERO DEL CARMEN</t>
  </si>
  <si>
    <t>Comunicadora</t>
  </si>
  <si>
    <t>2 meses 5 días</t>
  </si>
  <si>
    <t>Especialista</t>
  </si>
  <si>
    <t>40885992</t>
  </si>
  <si>
    <t>DEL RIO LOBOS MARTIN DANIEL</t>
  </si>
  <si>
    <t xml:space="preserve">Comunicador Audiovisual </t>
  </si>
  <si>
    <t>46185951</t>
  </si>
  <si>
    <t>MACO MUSAYON STEFANY DENISSE</t>
  </si>
  <si>
    <t>Ingeniera Administrativa</t>
  </si>
  <si>
    <t xml:space="preserve">Estudiante </t>
  </si>
  <si>
    <t>42211938</t>
  </si>
  <si>
    <t>ROBLES HILARIO ALLAN ENRIQUE</t>
  </si>
  <si>
    <t xml:space="preserve">Contabilidad </t>
  </si>
  <si>
    <t xml:space="preserve">Bachiller </t>
  </si>
  <si>
    <t>47445094</t>
  </si>
  <si>
    <t>LEVANO YARCURI ANGELO SAUL</t>
  </si>
  <si>
    <t>Enfermera Ocupacional</t>
  </si>
  <si>
    <t>ROJAS PÁRRAGA, ALLISON</t>
  </si>
  <si>
    <t>Enfermería</t>
  </si>
  <si>
    <t>2 meses 3 días</t>
  </si>
  <si>
    <t>3 meses 18 días</t>
  </si>
  <si>
    <t>OEN.01</t>
  </si>
  <si>
    <t xml:space="preserve">OEI.01. Atender oportunamente los procesos constitucionales
</t>
  </si>
  <si>
    <t>Porcentaje de Capacidad de Atención de expedientes</t>
  </si>
  <si>
    <t>Indice de reducción de la carga procesal</t>
  </si>
  <si>
    <t>Indice</t>
  </si>
  <si>
    <t xml:space="preserve">OEI.02 Promover el conocmiento a las atribuciones, competencias y la doctrina jurisprudencial del Tribunal Constitucional
</t>
  </si>
  <si>
    <t xml:space="preserve">Número de eventos orientados a la difusión de las atribuciones, competencias y la doctrina jurisprudencial del Tribunal Constitucional </t>
  </si>
  <si>
    <t>Número</t>
  </si>
  <si>
    <t>OEN.03</t>
  </si>
  <si>
    <t>OEI.03 Fortalecer la gestión institucional</t>
  </si>
  <si>
    <t>Porcentaje de acciones implementadas en el PEI por año</t>
  </si>
  <si>
    <t>OEI.04 Gestionar los Riesgos de Desastre</t>
  </si>
  <si>
    <t>Porcentaje de componentes implementados en el Plan de Gestión                                         de Gestión de riesgo</t>
  </si>
  <si>
    <t>N.D.</t>
  </si>
  <si>
    <r>
      <t>(Montos mayores a 8 o 9 UIT)</t>
    </r>
    <r>
      <rPr>
        <b/>
        <vertAlign val="superscript"/>
        <sz val="12"/>
        <color theme="0"/>
        <rFont val="Arial"/>
        <family val="2"/>
      </rPr>
      <t xml:space="preserve"> (i)</t>
    </r>
  </si>
  <si>
    <t>SECTOR: TRIBUNAL CONSTITUCIONAL</t>
  </si>
  <si>
    <t>SECTOR : TRIBUNAL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</si>
</sst>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280A]d&quot; de &quot;mmmm&quot; de &quot;yyyy;@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1"/>
      <name val="Calibri"/>
      <family val="2"/>
      <scheme val="minor"/>
    </font>
    <font>
      <b/>
      <sz val="14"/>
      <color theme="0"/>
      <name val="Arial"/>
      <family val="2"/>
    </font>
    <font>
      <sz val="9"/>
      <name val="Arial"/>
      <family val="2"/>
    </font>
    <font>
      <b/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vertAlign val="superscript"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2"/>
      </right>
      <top style="medium">
        <color indexed="64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/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0"/>
      </right>
      <top/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2"/>
      </bottom>
      <diagonal/>
    </border>
    <border>
      <left style="thin">
        <color theme="0"/>
      </left>
      <right style="thin">
        <color theme="2"/>
      </right>
      <top/>
      <bottom style="thin">
        <color theme="2"/>
      </bottom>
      <diagonal/>
    </border>
  </borders>
  <cellStyleXfs count="8">
    <xf numFmtId="0" fontId="0" fillId="0" borderId="0"/>
    <xf numFmtId="0" fontId="5" fillId="0" borderId="0"/>
    <xf numFmtId="49" fontId="9" fillId="0" borderId="0"/>
    <xf numFmtId="0" fontId="5" fillId="0" borderId="0"/>
    <xf numFmtId="0" fontId="3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" fillId="0" borderId="0"/>
  </cellStyleXfs>
  <cellXfs count="414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0" fontId="8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9" fontId="8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3" fontId="7" fillId="0" borderId="0" xfId="2" applyNumberFormat="1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indent="2"/>
    </xf>
    <xf numFmtId="0" fontId="8" fillId="0" borderId="0" xfId="0" applyFont="1" applyAlignment="1">
      <alignment horizontal="center" vertical="center" wrapText="1"/>
    </xf>
    <xf numFmtId="0" fontId="19" fillId="0" borderId="0" xfId="0" applyFont="1"/>
    <xf numFmtId="0" fontId="10" fillId="0" borderId="0" xfId="1" applyFont="1" applyAlignment="1">
      <alignment vertical="center"/>
    </xf>
    <xf numFmtId="0" fontId="19" fillId="0" borderId="6" xfId="0" applyFont="1" applyBorder="1"/>
    <xf numFmtId="0" fontId="19" fillId="0" borderId="15" xfId="0" applyFont="1" applyBorder="1"/>
    <xf numFmtId="0" fontId="19" fillId="0" borderId="4" xfId="0" applyFont="1" applyBorder="1"/>
    <xf numFmtId="0" fontId="10" fillId="0" borderId="0" xfId="0" applyFont="1"/>
    <xf numFmtId="0" fontId="19" fillId="0" borderId="0" xfId="1" applyFont="1" applyAlignment="1">
      <alignment horizontal="left" vertical="center"/>
    </xf>
    <xf numFmtId="49" fontId="19" fillId="0" borderId="0" xfId="3" applyNumberFormat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9" fillId="0" borderId="0" xfId="4" applyFont="1"/>
    <xf numFmtId="164" fontId="19" fillId="0" borderId="0" xfId="0" applyNumberFormat="1" applyFont="1"/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center" textRotation="90" wrapText="1"/>
    </xf>
    <xf numFmtId="0" fontId="19" fillId="0" borderId="17" xfId="0" applyFont="1" applyBorder="1"/>
    <xf numFmtId="0" fontId="2" fillId="0" borderId="20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10" fillId="0" borderId="6" xfId="1" applyFont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19" fillId="0" borderId="31" xfId="0" applyFont="1" applyBorder="1"/>
    <xf numFmtId="0" fontId="10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vertical="center"/>
    </xf>
    <xf numFmtId="0" fontId="18" fillId="3" borderId="22" xfId="1" applyFont="1" applyFill="1" applyBorder="1" applyAlignment="1">
      <alignment vertical="center"/>
    </xf>
    <xf numFmtId="0" fontId="21" fillId="3" borderId="22" xfId="1" applyFont="1" applyFill="1" applyBorder="1" applyAlignment="1">
      <alignment horizontal="center" vertical="center"/>
    </xf>
    <xf numFmtId="0" fontId="22" fillId="3" borderId="22" xfId="0" applyFont="1" applyFill="1" applyBorder="1"/>
    <xf numFmtId="0" fontId="21" fillId="3" borderId="22" xfId="1" applyFont="1" applyFill="1" applyBorder="1" applyAlignment="1">
      <alignment horizontal="center" vertical="center" wrapText="1"/>
    </xf>
    <xf numFmtId="0" fontId="21" fillId="3" borderId="33" xfId="1" applyFont="1" applyFill="1" applyBorder="1" applyAlignment="1">
      <alignment horizontal="center" vertical="center" wrapText="1"/>
    </xf>
    <xf numFmtId="0" fontId="21" fillId="3" borderId="36" xfId="1" applyFont="1" applyFill="1" applyBorder="1" applyAlignment="1">
      <alignment horizontal="center" vertical="center" wrapText="1"/>
    </xf>
    <xf numFmtId="0" fontId="21" fillId="3" borderId="37" xfId="1" applyFont="1" applyFill="1" applyBorder="1" applyAlignment="1">
      <alignment horizontal="center" vertical="center" wrapText="1"/>
    </xf>
    <xf numFmtId="0" fontId="21" fillId="3" borderId="38" xfId="1" applyFont="1" applyFill="1" applyBorder="1" applyAlignment="1">
      <alignment horizontal="center" vertical="center" wrapText="1"/>
    </xf>
    <xf numFmtId="0" fontId="19" fillId="0" borderId="11" xfId="0" applyFont="1" applyBorder="1"/>
    <xf numFmtId="0" fontId="19" fillId="0" borderId="13" xfId="0" applyFont="1" applyBorder="1"/>
    <xf numFmtId="0" fontId="19" fillId="0" borderId="22" xfId="0" applyFont="1" applyBorder="1"/>
    <xf numFmtId="0" fontId="24" fillId="5" borderId="6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left" vertical="center"/>
    </xf>
    <xf numFmtId="0" fontId="10" fillId="5" borderId="6" xfId="1" applyFont="1" applyFill="1" applyBorder="1" applyAlignment="1">
      <alignment vertical="center"/>
    </xf>
    <xf numFmtId="0" fontId="22" fillId="0" borderId="0" xfId="0" applyFont="1"/>
    <xf numFmtId="0" fontId="24" fillId="5" borderId="4" xfId="1" applyFont="1" applyFill="1" applyBorder="1" applyAlignment="1">
      <alignment horizontal="center" vertical="center"/>
    </xf>
    <xf numFmtId="0" fontId="21" fillId="5" borderId="4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center" vertical="center"/>
    </xf>
    <xf numFmtId="15" fontId="12" fillId="3" borderId="22" xfId="1" applyNumberFormat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vertical="center"/>
    </xf>
    <xf numFmtId="0" fontId="21" fillId="3" borderId="22" xfId="0" applyFont="1" applyFill="1" applyBorder="1" applyAlignment="1">
      <alignment horizontal="center"/>
    </xf>
    <xf numFmtId="0" fontId="10" fillId="0" borderId="15" xfId="1" applyFont="1" applyBorder="1" applyAlignment="1">
      <alignment horizontal="left" vertical="center"/>
    </xf>
    <xf numFmtId="0" fontId="19" fillId="0" borderId="15" xfId="1" applyFont="1" applyBorder="1" applyAlignment="1">
      <alignment horizontal="center" vertical="center"/>
    </xf>
    <xf numFmtId="0" fontId="19" fillId="0" borderId="15" xfId="1" applyFont="1" applyBorder="1" applyAlignment="1">
      <alignment vertical="center"/>
    </xf>
    <xf numFmtId="0" fontId="19" fillId="0" borderId="16" xfId="0" applyFont="1" applyBorder="1"/>
    <xf numFmtId="0" fontId="23" fillId="3" borderId="22" xfId="0" applyFont="1" applyFill="1" applyBorder="1"/>
    <xf numFmtId="0" fontId="12" fillId="3" borderId="22" xfId="1" applyFont="1" applyFill="1" applyBorder="1" applyAlignment="1">
      <alignment horizontal="left" vertical="center"/>
    </xf>
    <xf numFmtId="0" fontId="10" fillId="0" borderId="0" xfId="4" applyFont="1"/>
    <xf numFmtId="49" fontId="10" fillId="0" borderId="0" xfId="3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0" applyFont="1" applyAlignment="1">
      <alignment vertical="top"/>
    </xf>
    <xf numFmtId="164" fontId="21" fillId="3" borderId="32" xfId="0" applyNumberFormat="1" applyFont="1" applyFill="1" applyBorder="1" applyAlignment="1">
      <alignment horizontal="center" vertical="center" textRotation="90" wrapText="1"/>
    </xf>
    <xf numFmtId="0" fontId="22" fillId="3" borderId="33" xfId="0" applyFont="1" applyFill="1" applyBorder="1"/>
    <xf numFmtId="0" fontId="19" fillId="0" borderId="6" xfId="1" applyFont="1" applyBorder="1" applyAlignment="1">
      <alignment horizontal="left" vertical="center"/>
    </xf>
    <xf numFmtId="0" fontId="19" fillId="3" borderId="0" xfId="0" applyFont="1" applyFill="1"/>
    <xf numFmtId="0" fontId="19" fillId="4" borderId="6" xfId="1" applyFont="1" applyFill="1" applyBorder="1" applyAlignment="1">
      <alignment horizontal="left" vertical="center"/>
    </xf>
    <xf numFmtId="0" fontId="19" fillId="0" borderId="6" xfId="1" applyFont="1" applyBorder="1" applyAlignment="1">
      <alignment vertical="center"/>
    </xf>
    <xf numFmtId="0" fontId="20" fillId="3" borderId="32" xfId="0" applyFont="1" applyFill="1" applyBorder="1" applyAlignment="1">
      <alignment horizontal="center" vertical="center" textRotation="90" wrapText="1"/>
    </xf>
    <xf numFmtId="0" fontId="7" fillId="0" borderId="6" xfId="0" applyFont="1" applyBorder="1"/>
    <xf numFmtId="3" fontId="7" fillId="0" borderId="6" xfId="0" applyNumberFormat="1" applyFont="1" applyBorder="1"/>
    <xf numFmtId="0" fontId="21" fillId="3" borderId="33" xfId="1" applyFont="1" applyFill="1" applyBorder="1" applyAlignment="1">
      <alignment horizontal="center" vertical="center"/>
    </xf>
    <xf numFmtId="0" fontId="21" fillId="3" borderId="33" xfId="1" applyFont="1" applyFill="1" applyBorder="1" applyAlignment="1">
      <alignment vertical="center"/>
    </xf>
    <xf numFmtId="0" fontId="21" fillId="4" borderId="6" xfId="1" applyFont="1" applyFill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164" fontId="12" fillId="3" borderId="32" xfId="0" applyNumberFormat="1" applyFont="1" applyFill="1" applyBorder="1" applyAlignment="1">
      <alignment horizontal="center" textRotation="90" wrapText="1"/>
    </xf>
    <xf numFmtId="0" fontId="21" fillId="3" borderId="32" xfId="4" applyFont="1" applyFill="1" applyBorder="1" applyAlignment="1">
      <alignment horizontal="center" vertical="center" wrapText="1"/>
    </xf>
    <xf numFmtId="0" fontId="21" fillId="3" borderId="33" xfId="4" applyFont="1" applyFill="1" applyBorder="1" applyAlignment="1">
      <alignment horizontal="center"/>
    </xf>
    <xf numFmtId="0" fontId="22" fillId="3" borderId="33" xfId="4" applyFont="1" applyFill="1" applyBorder="1"/>
    <xf numFmtId="0" fontId="19" fillId="0" borderId="6" xfId="4" applyFont="1" applyBorder="1"/>
    <xf numFmtId="3" fontId="19" fillId="0" borderId="6" xfId="4" applyNumberFormat="1" applyFont="1" applyBorder="1"/>
    <xf numFmtId="0" fontId="13" fillId="3" borderId="32" xfId="0" applyFont="1" applyFill="1" applyBorder="1" applyAlignment="1">
      <alignment horizontal="center" vertical="center" wrapText="1"/>
    </xf>
    <xf numFmtId="0" fontId="12" fillId="3" borderId="22" xfId="1" applyFont="1" applyFill="1" applyBorder="1" applyAlignment="1">
      <alignment vertical="center"/>
    </xf>
    <xf numFmtId="0" fontId="21" fillId="3" borderId="32" xfId="4" applyFont="1" applyFill="1" applyBorder="1" applyAlignment="1">
      <alignment horizontal="center" vertical="center"/>
    </xf>
    <xf numFmtId="43" fontId="22" fillId="3" borderId="22" xfId="0" applyNumberFormat="1" applyFont="1" applyFill="1" applyBorder="1"/>
    <xf numFmtId="43" fontId="2" fillId="0" borderId="4" xfId="5" applyFont="1" applyBorder="1" applyAlignment="1">
      <alignment vertical="center"/>
    </xf>
    <xf numFmtId="43" fontId="21" fillId="3" borderId="22" xfId="0" applyNumberFormat="1" applyFont="1" applyFill="1" applyBorder="1"/>
    <xf numFmtId="0" fontId="21" fillId="3" borderId="22" xfId="0" applyFont="1" applyFill="1" applyBorder="1" applyAlignment="1">
      <alignment horizontal="center" vertical="center" wrapText="1"/>
    </xf>
    <xf numFmtId="0" fontId="12" fillId="3" borderId="22" xfId="1" applyFont="1" applyFill="1" applyBorder="1" applyAlignment="1">
      <alignment horizontal="center" vertical="center" wrapText="1"/>
    </xf>
    <xf numFmtId="0" fontId="12" fillId="3" borderId="22" xfId="1" applyFont="1" applyFill="1" applyBorder="1" applyAlignment="1">
      <alignment horizontal="center" vertical="center"/>
    </xf>
    <xf numFmtId="0" fontId="12" fillId="3" borderId="32" xfId="1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 wrapText="1"/>
    </xf>
    <xf numFmtId="4" fontId="10" fillId="5" borderId="4" xfId="1" applyNumberFormat="1" applyFont="1" applyFill="1" applyBorder="1" applyAlignment="1">
      <alignment horizontal="right" vertical="center" wrapText="1"/>
    </xf>
    <xf numFmtId="0" fontId="19" fillId="0" borderId="6" xfId="1" applyFont="1" applyBorder="1" applyAlignment="1">
      <alignment horizontal="left" vertical="center" wrapText="1"/>
    </xf>
    <xf numFmtId="0" fontId="26" fillId="4" borderId="6" xfId="0" applyFont="1" applyFill="1" applyBorder="1" applyAlignment="1">
      <alignment vertical="center" wrapText="1"/>
    </xf>
    <xf numFmtId="4" fontId="19" fillId="0" borderId="6" xfId="1" applyNumberFormat="1" applyFont="1" applyBorder="1" applyAlignment="1">
      <alignment horizontal="right" vertical="center"/>
    </xf>
    <xf numFmtId="14" fontId="19" fillId="0" borderId="6" xfId="1" applyNumberFormat="1" applyFont="1" applyBorder="1" applyAlignment="1">
      <alignment horizontal="center" vertical="center"/>
    </xf>
    <xf numFmtId="0" fontId="26" fillId="4" borderId="6" xfId="0" applyFont="1" applyFill="1" applyBorder="1" applyAlignment="1">
      <alignment horizontal="left" vertical="center" wrapText="1"/>
    </xf>
    <xf numFmtId="4" fontId="10" fillId="5" borderId="6" xfId="1" applyNumberFormat="1" applyFont="1" applyFill="1" applyBorder="1" applyAlignment="1">
      <alignment horizontal="right" vertical="center"/>
    </xf>
    <xf numFmtId="0" fontId="10" fillId="5" borderId="6" xfId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4" fontId="26" fillId="4" borderId="6" xfId="0" applyNumberFormat="1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4" fontId="19" fillId="0" borderId="6" xfId="1" applyNumberFormat="1" applyFont="1" applyBorder="1" applyAlignment="1">
      <alignment horizontal="left" vertical="center"/>
    </xf>
    <xf numFmtId="4" fontId="21" fillId="3" borderId="22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9" fillId="0" borderId="6" xfId="4" applyNumberFormat="1" applyFont="1" applyBorder="1" applyAlignment="1">
      <alignment horizontal="center"/>
    </xf>
    <xf numFmtId="49" fontId="19" fillId="0" borderId="6" xfId="4" applyNumberFormat="1" applyFont="1" applyBorder="1" applyAlignment="1">
      <alignment horizontal="center"/>
    </xf>
    <xf numFmtId="4" fontId="19" fillId="0" borderId="6" xfId="4" applyNumberFormat="1" applyFont="1" applyBorder="1" applyAlignment="1">
      <alignment horizontal="right"/>
    </xf>
    <xf numFmtId="4" fontId="21" fillId="3" borderId="33" xfId="4" applyNumberFormat="1" applyFont="1" applyFill="1" applyBorder="1"/>
    <xf numFmtId="0" fontId="28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8" fillId="0" borderId="0" xfId="7" applyFont="1" applyAlignment="1">
      <alignment horizontal="center" vertical="center"/>
    </xf>
    <xf numFmtId="0" fontId="28" fillId="0" borderId="0" xfId="7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49" fontId="4" fillId="0" borderId="4" xfId="2" applyFont="1" applyBorder="1" applyAlignment="1">
      <alignment vertical="center"/>
    </xf>
    <xf numFmtId="9" fontId="2" fillId="0" borderId="4" xfId="5" applyNumberFormat="1" applyFont="1" applyBorder="1" applyAlignment="1">
      <alignment vertical="center"/>
    </xf>
    <xf numFmtId="49" fontId="13" fillId="3" borderId="33" xfId="2" applyFont="1" applyFill="1" applyBorder="1" applyAlignment="1">
      <alignment horizontal="center" vertical="center"/>
    </xf>
    <xf numFmtId="4" fontId="13" fillId="3" borderId="33" xfId="2" applyNumberFormat="1" applyFont="1" applyFill="1" applyBorder="1" applyAlignment="1">
      <alignment horizontal="right" vertical="center"/>
    </xf>
    <xf numFmtId="9" fontId="13" fillId="3" borderId="33" xfId="6" applyFont="1" applyFill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3" fontId="4" fillId="0" borderId="6" xfId="0" applyNumberFormat="1" applyFont="1" applyBorder="1"/>
    <xf numFmtId="9" fontId="4" fillId="0" borderId="6" xfId="6" applyFont="1" applyBorder="1"/>
    <xf numFmtId="43" fontId="4" fillId="0" borderId="6" xfId="5" applyFont="1" applyBorder="1"/>
    <xf numFmtId="0" fontId="4" fillId="0" borderId="6" xfId="0" applyFont="1" applyBorder="1"/>
    <xf numFmtId="0" fontId="2" fillId="0" borderId="6" xfId="0" applyFont="1" applyBorder="1" applyAlignment="1">
      <alignment horizontal="left"/>
    </xf>
    <xf numFmtId="49" fontId="13" fillId="3" borderId="33" xfId="2" applyFont="1" applyFill="1" applyBorder="1" applyAlignment="1">
      <alignment horizontal="left" vertical="center"/>
    </xf>
    <xf numFmtId="3" fontId="13" fillId="3" borderId="33" xfId="0" applyNumberFormat="1" applyFont="1" applyFill="1" applyBorder="1"/>
    <xf numFmtId="9" fontId="13" fillId="3" borderId="33" xfId="6" applyFont="1" applyFill="1" applyBorder="1"/>
    <xf numFmtId="0" fontId="13" fillId="3" borderId="33" xfId="0" applyFont="1" applyFill="1" applyBorder="1"/>
    <xf numFmtId="0" fontId="4" fillId="0" borderId="9" xfId="0" applyFont="1" applyBorder="1"/>
    <xf numFmtId="43" fontId="4" fillId="0" borderId="26" xfId="5" applyFont="1" applyBorder="1"/>
    <xf numFmtId="43" fontId="4" fillId="0" borderId="2" xfId="5" applyFont="1" applyBorder="1"/>
    <xf numFmtId="43" fontId="4" fillId="0" borderId="27" xfId="5" applyFont="1" applyBorder="1"/>
    <xf numFmtId="43" fontId="4" fillId="0" borderId="1" xfId="5" applyFont="1" applyBorder="1"/>
    <xf numFmtId="43" fontId="4" fillId="0" borderId="50" xfId="5" applyFont="1" applyBorder="1"/>
    <xf numFmtId="0" fontId="4" fillId="0" borderId="19" xfId="0" applyFont="1" applyBorder="1"/>
    <xf numFmtId="43" fontId="4" fillId="0" borderId="5" xfId="5" applyFont="1" applyBorder="1"/>
    <xf numFmtId="43" fontId="4" fillId="0" borderId="12" xfId="5" applyFont="1" applyBorder="1"/>
    <xf numFmtId="43" fontId="4" fillId="0" borderId="18" xfId="5" applyFont="1" applyBorder="1"/>
    <xf numFmtId="43" fontId="4" fillId="0" borderId="14" xfId="5" applyFont="1" applyBorder="1"/>
    <xf numFmtId="43" fontId="4" fillId="0" borderId="4" xfId="5" applyFont="1" applyBorder="1"/>
    <xf numFmtId="0" fontId="2" fillId="2" borderId="10" xfId="0" applyFont="1" applyFill="1" applyBorder="1" applyAlignment="1">
      <alignment horizontal="right"/>
    </xf>
    <xf numFmtId="43" fontId="2" fillId="2" borderId="7" xfId="5" applyFont="1" applyFill="1" applyBorder="1"/>
    <xf numFmtId="10" fontId="2" fillId="2" borderId="8" xfId="6" applyNumberFormat="1" applyFont="1" applyFill="1" applyBorder="1"/>
    <xf numFmtId="10" fontId="2" fillId="2" borderId="28" xfId="6" applyNumberFormat="1" applyFont="1" applyFill="1" applyBorder="1"/>
    <xf numFmtId="43" fontId="2" fillId="2" borderId="8" xfId="5" applyFont="1" applyFill="1" applyBorder="1"/>
    <xf numFmtId="43" fontId="2" fillId="2" borderId="29" xfId="5" applyFont="1" applyFill="1" applyBorder="1"/>
    <xf numFmtId="0" fontId="21" fillId="3" borderId="22" xfId="0" applyFont="1" applyFill="1" applyBorder="1" applyAlignment="1">
      <alignment horizontal="center" vertical="center"/>
    </xf>
    <xf numFmtId="4" fontId="19" fillId="0" borderId="0" xfId="4" applyNumberFormat="1" applyFont="1" applyAlignment="1">
      <alignment horizontal="right"/>
    </xf>
    <xf numFmtId="4" fontId="2" fillId="0" borderId="4" xfId="2" applyNumberFormat="1" applyFont="1" applyBorder="1" applyAlignment="1">
      <alignment vertical="center"/>
    </xf>
    <xf numFmtId="0" fontId="12" fillId="3" borderId="58" xfId="0" applyFont="1" applyFill="1" applyBorder="1" applyAlignment="1">
      <alignment horizontal="center"/>
    </xf>
    <xf numFmtId="49" fontId="13" fillId="3" borderId="69" xfId="2" applyFont="1" applyFill="1" applyBorder="1" applyAlignment="1">
      <alignment horizontal="center" textRotation="90" wrapText="1"/>
    </xf>
    <xf numFmtId="49" fontId="13" fillId="3" borderId="58" xfId="2" applyFont="1" applyFill="1" applyBorder="1" applyAlignment="1">
      <alignment horizontal="center" textRotation="90" wrapText="1"/>
    </xf>
    <xf numFmtId="49" fontId="13" fillId="3" borderId="68" xfId="2" applyFont="1" applyFill="1" applyBorder="1" applyAlignment="1">
      <alignment horizontal="center" textRotation="90" wrapText="1"/>
    </xf>
    <xf numFmtId="49" fontId="13" fillId="3" borderId="70" xfId="2" applyFont="1" applyFill="1" applyBorder="1" applyAlignment="1">
      <alignment horizontal="center" textRotation="90" wrapText="1"/>
    </xf>
    <xf numFmtId="49" fontId="13" fillId="3" borderId="71" xfId="2" applyFont="1" applyFill="1" applyBorder="1" applyAlignment="1">
      <alignment horizontal="center" textRotation="90" wrapText="1"/>
    </xf>
    <xf numFmtId="49" fontId="13" fillId="3" borderId="75" xfId="2" applyFont="1" applyFill="1" applyBorder="1" applyAlignment="1">
      <alignment horizontal="center" textRotation="90" wrapText="1"/>
    </xf>
    <xf numFmtId="49" fontId="13" fillId="3" borderId="77" xfId="2" applyFont="1" applyFill="1" applyBorder="1" applyAlignment="1">
      <alignment horizontal="center" textRotation="90" wrapText="1"/>
    </xf>
    <xf numFmtId="0" fontId="12" fillId="3" borderId="22" xfId="0" applyFont="1" applyFill="1" applyBorder="1" applyAlignment="1">
      <alignment horizontal="center" wrapText="1"/>
    </xf>
    <xf numFmtId="49" fontId="20" fillId="3" borderId="22" xfId="2" applyFont="1" applyFill="1" applyBorder="1" applyAlignment="1">
      <alignment horizontal="center" textRotation="90" wrapText="1"/>
    </xf>
    <xf numFmtId="0" fontId="12" fillId="3" borderId="81" xfId="1" applyFont="1" applyFill="1" applyBorder="1" applyAlignment="1">
      <alignment vertical="center"/>
    </xf>
    <xf numFmtId="49" fontId="20" fillId="3" borderId="82" xfId="2" applyFont="1" applyFill="1" applyBorder="1" applyAlignment="1">
      <alignment horizontal="center" textRotation="90" wrapText="1"/>
    </xf>
    <xf numFmtId="0" fontId="4" fillId="0" borderId="83" xfId="0" applyFont="1" applyBorder="1"/>
    <xf numFmtId="43" fontId="4" fillId="0" borderId="84" xfId="5" applyFont="1" applyBorder="1"/>
    <xf numFmtId="49" fontId="4" fillId="0" borderId="85" xfId="0" applyNumberFormat="1" applyFont="1" applyBorder="1" applyAlignment="1">
      <alignment horizontal="left"/>
    </xf>
    <xf numFmtId="9" fontId="4" fillId="0" borderId="53" xfId="6" applyFont="1" applyBorder="1"/>
    <xf numFmtId="0" fontId="4" fillId="0" borderId="86" xfId="0" applyFont="1" applyBorder="1" applyAlignment="1">
      <alignment horizontal="right"/>
    </xf>
    <xf numFmtId="43" fontId="2" fillId="2" borderId="87" xfId="5" applyFont="1" applyFill="1" applyBorder="1"/>
    <xf numFmtId="43" fontId="21" fillId="3" borderId="82" xfId="0" applyNumberFormat="1" applyFont="1" applyFill="1" applyBorder="1"/>
    <xf numFmtId="0" fontId="21" fillId="3" borderId="89" xfId="0" applyFont="1" applyFill="1" applyBorder="1" applyAlignment="1">
      <alignment horizontal="center" vertical="center" wrapText="1"/>
    </xf>
    <xf numFmtId="0" fontId="22" fillId="3" borderId="89" xfId="0" applyFont="1" applyFill="1" applyBorder="1"/>
    <xf numFmtId="10" fontId="21" fillId="3" borderId="89" xfId="6" applyNumberFormat="1" applyFont="1" applyFill="1" applyBorder="1"/>
    <xf numFmtId="43" fontId="21" fillId="3" borderId="90" xfId="0" applyNumberFormat="1" applyFont="1" applyFill="1" applyBorder="1"/>
    <xf numFmtId="0" fontId="12" fillId="3" borderId="81" xfId="1" applyFont="1" applyFill="1" applyBorder="1" applyAlignment="1">
      <alignment horizontal="left" vertical="center"/>
    </xf>
    <xf numFmtId="0" fontId="12" fillId="3" borderId="81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wrapText="1"/>
    </xf>
    <xf numFmtId="0" fontId="4" fillId="0" borderId="53" xfId="0" applyFont="1" applyBorder="1"/>
    <xf numFmtId="0" fontId="31" fillId="3" borderId="22" xfId="0" applyFont="1" applyFill="1" applyBorder="1"/>
    <xf numFmtId="0" fontId="4" fillId="0" borderId="6" xfId="1" applyFont="1" applyBorder="1" applyAlignment="1">
      <alignment horizontal="left" vertical="center"/>
    </xf>
    <xf numFmtId="43" fontId="4" fillId="0" borderId="6" xfId="5" applyFont="1" applyBorder="1" applyAlignment="1">
      <alignment vertical="center"/>
    </xf>
    <xf numFmtId="9" fontId="4" fillId="0" borderId="6" xfId="6" applyFont="1" applyBorder="1" applyAlignment="1">
      <alignment vertical="center"/>
    </xf>
    <xf numFmtId="0" fontId="4" fillId="4" borderId="6" xfId="1" applyFont="1" applyFill="1" applyBorder="1" applyAlignment="1">
      <alignment horizontal="left" vertical="center"/>
    </xf>
    <xf numFmtId="0" fontId="13" fillId="3" borderId="30" xfId="1" applyFont="1" applyFill="1" applyBorder="1" applyAlignment="1">
      <alignment horizontal="center" vertical="center"/>
    </xf>
    <xf numFmtId="43" fontId="13" fillId="3" borderId="30" xfId="1" applyNumberFormat="1" applyFont="1" applyFill="1" applyBorder="1" applyAlignment="1">
      <alignment vertical="center"/>
    </xf>
    <xf numFmtId="43" fontId="13" fillId="3" borderId="43" xfId="1" applyNumberFormat="1" applyFont="1" applyFill="1" applyBorder="1" applyAlignment="1">
      <alignment vertical="center"/>
    </xf>
    <xf numFmtId="43" fontId="13" fillId="3" borderId="44" xfId="1" applyNumberFormat="1" applyFont="1" applyFill="1" applyBorder="1" applyAlignment="1">
      <alignment vertical="center"/>
    </xf>
    <xf numFmtId="43" fontId="13" fillId="3" borderId="45" xfId="1" applyNumberFormat="1" applyFont="1" applyFill="1" applyBorder="1" applyAlignment="1">
      <alignment vertical="center"/>
    </xf>
    <xf numFmtId="43" fontId="13" fillId="3" borderId="10" xfId="1" applyNumberFormat="1" applyFont="1" applyFill="1" applyBorder="1" applyAlignment="1">
      <alignment vertical="center"/>
    </xf>
    <xf numFmtId="9" fontId="13" fillId="3" borderId="46" xfId="1" applyNumberFormat="1" applyFont="1" applyFill="1" applyBorder="1" applyAlignment="1">
      <alignment vertical="center"/>
    </xf>
    <xf numFmtId="43" fontId="13" fillId="3" borderId="47" xfId="1" applyNumberFormat="1" applyFont="1" applyFill="1" applyBorder="1" applyAlignment="1">
      <alignment vertical="center"/>
    </xf>
    <xf numFmtId="0" fontId="13" fillId="3" borderId="48" xfId="1" applyFont="1" applyFill="1" applyBorder="1" applyAlignment="1">
      <alignment vertical="center"/>
    </xf>
    <xf numFmtId="0" fontId="12" fillId="3" borderId="22" xfId="0" applyFont="1" applyFill="1" applyBorder="1"/>
    <xf numFmtId="49" fontId="31" fillId="3" borderId="22" xfId="3" quotePrefix="1" applyNumberFormat="1" applyFont="1" applyFill="1" applyBorder="1" applyAlignment="1">
      <alignment horizontal="left" vertical="center"/>
    </xf>
    <xf numFmtId="0" fontId="21" fillId="3" borderId="23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/>
    </xf>
    <xf numFmtId="0" fontId="33" fillId="4" borderId="6" xfId="0" applyFont="1" applyFill="1" applyBorder="1" applyAlignment="1">
      <alignment vertical="center" wrapText="1"/>
    </xf>
    <xf numFmtId="4" fontId="33" fillId="4" borderId="6" xfId="0" applyNumberFormat="1" applyFont="1" applyFill="1" applyBorder="1" applyAlignment="1">
      <alignment horizontal="right" vertical="center"/>
    </xf>
    <xf numFmtId="0" fontId="33" fillId="4" borderId="6" xfId="0" applyFont="1" applyFill="1" applyBorder="1" applyAlignment="1">
      <alignment horizontal="center" vertical="center"/>
    </xf>
    <xf numFmtId="0" fontId="34" fillId="4" borderId="6" xfId="7" applyFont="1" applyFill="1" applyBorder="1" applyAlignment="1">
      <alignment vertical="center" wrapText="1"/>
    </xf>
    <xf numFmtId="0" fontId="33" fillId="4" borderId="6" xfId="7" applyFont="1" applyFill="1" applyBorder="1" applyAlignment="1">
      <alignment horizontal="center" vertical="center" wrapText="1"/>
    </xf>
    <xf numFmtId="4" fontId="33" fillId="4" borderId="6" xfId="0" applyNumberFormat="1" applyFont="1" applyFill="1" applyBorder="1" applyAlignment="1">
      <alignment horizontal="center" vertical="center"/>
    </xf>
    <xf numFmtId="0" fontId="33" fillId="4" borderId="14" xfId="7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4" fontId="33" fillId="4" borderId="13" xfId="0" applyNumberFormat="1" applyFont="1" applyFill="1" applyBorder="1"/>
    <xf numFmtId="1" fontId="33" fillId="4" borderId="26" xfId="0" applyNumberFormat="1" applyFont="1" applyFill="1" applyBorder="1" applyAlignment="1">
      <alignment horizontal="center"/>
    </xf>
    <xf numFmtId="49" fontId="33" fillId="4" borderId="2" xfId="0" applyNumberFormat="1" applyFont="1" applyFill="1" applyBorder="1" applyAlignment="1">
      <alignment horizontal="center"/>
    </xf>
    <xf numFmtId="4" fontId="33" fillId="4" borderId="51" xfId="0" applyNumberFormat="1" applyFont="1" applyFill="1" applyBorder="1"/>
    <xf numFmtId="4" fontId="33" fillId="4" borderId="27" xfId="0" applyNumberFormat="1" applyFont="1" applyFill="1" applyBorder="1"/>
    <xf numFmtId="0" fontId="34" fillId="4" borderId="6" xfId="7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 wrapText="1"/>
    </xf>
    <xf numFmtId="4" fontId="33" fillId="0" borderId="6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vertical="center"/>
    </xf>
    <xf numFmtId="0" fontId="33" fillId="4" borderId="6" xfId="7" applyFont="1" applyFill="1" applyBorder="1" applyAlignment="1">
      <alignment horizontal="center" vertical="center"/>
    </xf>
    <xf numFmtId="1" fontId="33" fillId="4" borderId="5" xfId="0" applyNumberFormat="1" applyFont="1" applyFill="1" applyBorder="1" applyAlignment="1">
      <alignment horizontal="center"/>
    </xf>
    <xf numFmtId="49" fontId="33" fillId="4" borderId="6" xfId="0" applyNumberFormat="1" applyFont="1" applyFill="1" applyBorder="1" applyAlignment="1">
      <alignment horizontal="center"/>
    </xf>
    <xf numFmtId="0" fontId="34" fillId="4" borderId="6" xfId="7" applyFont="1" applyFill="1" applyBorder="1" applyAlignment="1">
      <alignment horizontal="left" vertical="center" wrapText="1"/>
    </xf>
    <xf numFmtId="0" fontId="33" fillId="4" borderId="6" xfId="7" quotePrefix="1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/>
    </xf>
    <xf numFmtId="0" fontId="33" fillId="4" borderId="6" xfId="7" quotePrefix="1" applyFont="1" applyFill="1" applyBorder="1" applyAlignment="1">
      <alignment horizontal="center" vertical="center"/>
    </xf>
    <xf numFmtId="0" fontId="33" fillId="0" borderId="6" xfId="7" applyFont="1" applyBorder="1" applyAlignment="1">
      <alignment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vertical="center"/>
    </xf>
    <xf numFmtId="0" fontId="33" fillId="4" borderId="4" xfId="0" applyFont="1" applyFill="1" applyBorder="1" applyAlignment="1">
      <alignment vertical="center"/>
    </xf>
    <xf numFmtId="0" fontId="33" fillId="0" borderId="4" xfId="0" applyFont="1" applyBorder="1" applyAlignment="1">
      <alignment vertical="center"/>
    </xf>
    <xf numFmtId="4" fontId="33" fillId="0" borderId="4" xfId="0" applyNumberFormat="1" applyFont="1" applyBorder="1" applyAlignment="1">
      <alignment horizontal="right" vertical="center"/>
    </xf>
    <xf numFmtId="0" fontId="34" fillId="4" borderId="4" xfId="7" applyFont="1" applyFill="1" applyBorder="1" applyAlignment="1">
      <alignment vertical="center" wrapText="1"/>
    </xf>
    <xf numFmtId="4" fontId="33" fillId="4" borderId="4" xfId="0" applyNumberFormat="1" applyFont="1" applyFill="1" applyBorder="1" applyAlignment="1">
      <alignment horizontal="center" vertical="center"/>
    </xf>
    <xf numFmtId="0" fontId="33" fillId="4" borderId="47" xfId="0" applyFont="1" applyFill="1" applyBorder="1" applyAlignment="1">
      <alignment vertical="center"/>
    </xf>
    <xf numFmtId="0" fontId="33" fillId="4" borderId="52" xfId="0" applyFont="1" applyFill="1" applyBorder="1" applyAlignment="1">
      <alignment vertical="center"/>
    </xf>
    <xf numFmtId="0" fontId="33" fillId="0" borderId="52" xfId="0" applyFont="1" applyBorder="1" applyAlignment="1">
      <alignment vertical="center"/>
    </xf>
    <xf numFmtId="4" fontId="33" fillId="0" borderId="52" xfId="0" applyNumberFormat="1" applyFont="1" applyBorder="1" applyAlignment="1">
      <alignment horizontal="right" vertical="center"/>
    </xf>
    <xf numFmtId="0" fontId="34" fillId="4" borderId="52" xfId="7" applyFont="1" applyFill="1" applyBorder="1" applyAlignment="1">
      <alignment vertical="center" wrapText="1"/>
    </xf>
    <xf numFmtId="4" fontId="33" fillId="4" borderId="5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/>
    </xf>
    <xf numFmtId="0" fontId="13" fillId="3" borderId="93" xfId="0" applyFont="1" applyFill="1" applyBorder="1" applyAlignment="1">
      <alignment horizontal="center" vertical="center" wrapText="1"/>
    </xf>
    <xf numFmtId="0" fontId="21" fillId="3" borderId="94" xfId="0" applyFont="1" applyFill="1" applyBorder="1" applyAlignment="1">
      <alignment horizontal="center" vertical="center"/>
    </xf>
    <xf numFmtId="0" fontId="18" fillId="3" borderId="95" xfId="0" applyFont="1" applyFill="1" applyBorder="1" applyAlignment="1">
      <alignment vertical="center"/>
    </xf>
    <xf numFmtId="0" fontId="18" fillId="3" borderId="96" xfId="0" applyFont="1" applyFill="1" applyBorder="1" applyAlignment="1">
      <alignment vertical="center"/>
    </xf>
    <xf numFmtId="0" fontId="4" fillId="0" borderId="56" xfId="0" applyFont="1" applyBorder="1" applyAlignment="1">
      <alignment wrapText="1"/>
    </xf>
    <xf numFmtId="0" fontId="4" fillId="0" borderId="55" xfId="0" applyFont="1" applyBorder="1"/>
    <xf numFmtId="0" fontId="4" fillId="0" borderId="57" xfId="0" applyFont="1" applyBorder="1"/>
    <xf numFmtId="0" fontId="4" fillId="0" borderId="63" xfId="0" applyFont="1" applyBorder="1" applyAlignment="1">
      <alignment wrapText="1"/>
    </xf>
    <xf numFmtId="0" fontId="4" fillId="0" borderId="54" xfId="0" applyFont="1" applyBorder="1"/>
    <xf numFmtId="0" fontId="4" fillId="0" borderId="64" xfId="0" applyFont="1" applyBorder="1"/>
    <xf numFmtId="4" fontId="33" fillId="4" borderId="14" xfId="0" applyNumberFormat="1" applyFont="1" applyFill="1" applyBorder="1"/>
    <xf numFmtId="49" fontId="33" fillId="4" borderId="6" xfId="7" applyNumberFormat="1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horizontal="center" wrapText="1"/>
    </xf>
    <xf numFmtId="0" fontId="33" fillId="4" borderId="6" xfId="0" applyFont="1" applyFill="1" applyBorder="1" applyAlignment="1">
      <alignment horizontal="center" wrapText="1"/>
    </xf>
    <xf numFmtId="0" fontId="33" fillId="4" borderId="13" xfId="0" applyFont="1" applyFill="1" applyBorder="1" applyAlignment="1">
      <alignment wrapText="1"/>
    </xf>
    <xf numFmtId="0" fontId="33" fillId="4" borderId="13" xfId="0" applyFont="1" applyFill="1" applyBorder="1"/>
    <xf numFmtId="164" fontId="33" fillId="4" borderId="0" xfId="0" applyNumberFormat="1" applyFont="1" applyFill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0" fontId="33" fillId="4" borderId="14" xfId="0" applyFont="1" applyFill="1" applyBorder="1"/>
    <xf numFmtId="49" fontId="33" fillId="4" borderId="6" xfId="0" applyNumberFormat="1" applyFont="1" applyFill="1" applyBorder="1" applyAlignment="1">
      <alignment horizontal="center" vertical="center"/>
    </xf>
    <xf numFmtId="4" fontId="33" fillId="4" borderId="13" xfId="0" applyNumberFormat="1" applyFont="1" applyFill="1" applyBorder="1" applyAlignment="1">
      <alignment vertical="center"/>
    </xf>
    <xf numFmtId="0" fontId="33" fillId="4" borderId="4" xfId="7" applyFont="1" applyFill="1" applyBorder="1" applyAlignment="1">
      <alignment horizontal="center" vertical="center"/>
    </xf>
    <xf numFmtId="0" fontId="33" fillId="4" borderId="4" xfId="7" applyFont="1" applyFill="1" applyBorder="1" applyAlignment="1">
      <alignment horizontal="center" vertical="center" wrapText="1"/>
    </xf>
    <xf numFmtId="0" fontId="33" fillId="4" borderId="12" xfId="7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4" fontId="33" fillId="4" borderId="11" xfId="0" applyNumberFormat="1" applyFont="1" applyFill="1" applyBorder="1"/>
    <xf numFmtId="1" fontId="33" fillId="4" borderId="3" xfId="0" applyNumberFormat="1" applyFont="1" applyFill="1" applyBorder="1" applyAlignment="1">
      <alignment horizontal="center"/>
    </xf>
    <xf numFmtId="49" fontId="33" fillId="4" borderId="4" xfId="0" applyNumberFormat="1" applyFont="1" applyFill="1" applyBorder="1" applyAlignment="1">
      <alignment horizontal="center"/>
    </xf>
    <xf numFmtId="0" fontId="33" fillId="4" borderId="52" xfId="7" applyFont="1" applyFill="1" applyBorder="1" applyAlignment="1">
      <alignment horizontal="center" vertical="center"/>
    </xf>
    <xf numFmtId="0" fontId="33" fillId="4" borderId="52" xfId="7" applyFont="1" applyFill="1" applyBorder="1" applyAlignment="1">
      <alignment horizontal="center" vertical="center" wrapText="1"/>
    </xf>
    <xf numFmtId="0" fontId="33" fillId="4" borderId="43" xfId="7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/>
    </xf>
    <xf numFmtId="0" fontId="33" fillId="4" borderId="52" xfId="0" applyFont="1" applyFill="1" applyBorder="1" applyAlignment="1">
      <alignment horizontal="center" vertical="center"/>
    </xf>
    <xf numFmtId="4" fontId="33" fillId="4" borderId="46" xfId="0" applyNumberFormat="1" applyFont="1" applyFill="1" applyBorder="1"/>
    <xf numFmtId="1" fontId="33" fillId="4" borderId="47" xfId="0" applyNumberFormat="1" applyFont="1" applyFill="1" applyBorder="1" applyAlignment="1">
      <alignment horizontal="center"/>
    </xf>
    <xf numFmtId="49" fontId="33" fillId="4" borderId="52" xfId="0" applyNumberFormat="1" applyFont="1" applyFill="1" applyBorder="1" applyAlignment="1">
      <alignment horizontal="center"/>
    </xf>
    <xf numFmtId="1" fontId="33" fillId="4" borderId="7" xfId="0" applyNumberFormat="1" applyFont="1" applyFill="1" applyBorder="1" applyAlignment="1">
      <alignment horizontal="center"/>
    </xf>
    <xf numFmtId="4" fontId="33" fillId="4" borderId="28" xfId="0" applyNumberFormat="1" applyFont="1" applyFill="1" applyBorder="1"/>
    <xf numFmtId="0" fontId="17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35" fillId="0" borderId="4" xfId="0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right" vertical="center" wrapText="1"/>
    </xf>
    <xf numFmtId="10" fontId="4" fillId="0" borderId="6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3" fontId="4" fillId="0" borderId="0" xfId="0" applyNumberFormat="1" applyFont="1"/>
    <xf numFmtId="4" fontId="4" fillId="0" borderId="15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vertical="center"/>
    </xf>
    <xf numFmtId="0" fontId="31" fillId="3" borderId="6" xfId="0" applyFont="1" applyFill="1" applyBorder="1" applyAlignment="1">
      <alignment horizontal="left"/>
    </xf>
    <xf numFmtId="0" fontId="2" fillId="0" borderId="6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17" fillId="0" borderId="4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13" fillId="3" borderId="65" xfId="1" applyFont="1" applyFill="1" applyBorder="1" applyAlignment="1">
      <alignment vertical="center"/>
    </xf>
    <xf numFmtId="0" fontId="13" fillId="3" borderId="60" xfId="1" applyFont="1" applyFill="1" applyBorder="1" applyAlignment="1">
      <alignment vertical="center"/>
    </xf>
    <xf numFmtId="0" fontId="13" fillId="3" borderId="61" xfId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 wrapText="1"/>
    </xf>
    <xf numFmtId="0" fontId="16" fillId="3" borderId="60" xfId="0" applyFont="1" applyFill="1" applyBorder="1" applyAlignment="1">
      <alignment horizontal="center" vertical="center" wrapText="1"/>
    </xf>
    <xf numFmtId="0" fontId="16" fillId="3" borderId="61" xfId="0" applyFont="1" applyFill="1" applyBorder="1" applyAlignment="1">
      <alignment horizontal="center" vertical="center" wrapText="1"/>
    </xf>
    <xf numFmtId="49" fontId="12" fillId="3" borderId="66" xfId="2" applyFont="1" applyFill="1" applyBorder="1" applyAlignment="1">
      <alignment horizontal="center" vertical="center" wrapText="1"/>
    </xf>
    <xf numFmtId="49" fontId="12" fillId="3" borderId="67" xfId="2" applyFont="1" applyFill="1" applyBorder="1" applyAlignment="1">
      <alignment horizontal="center" vertical="center" wrapText="1"/>
    </xf>
    <xf numFmtId="49" fontId="12" fillId="3" borderId="0" xfId="2" applyFont="1" applyFill="1" applyAlignment="1">
      <alignment horizontal="center" vertical="center" wrapText="1"/>
    </xf>
    <xf numFmtId="49" fontId="12" fillId="3" borderId="68" xfId="2" applyFont="1" applyFill="1" applyBorder="1" applyAlignment="1">
      <alignment horizontal="center" vertical="center" wrapText="1"/>
    </xf>
    <xf numFmtId="49" fontId="12" fillId="3" borderId="59" xfId="2" applyFont="1" applyFill="1" applyBorder="1" applyAlignment="1">
      <alignment horizontal="center" vertical="center" wrapText="1"/>
    </xf>
    <xf numFmtId="49" fontId="12" fillId="3" borderId="60" xfId="2" applyFont="1" applyFill="1" applyBorder="1" applyAlignment="1">
      <alignment horizontal="center" vertical="center" wrapText="1"/>
    </xf>
    <xf numFmtId="49" fontId="12" fillId="3" borderId="61" xfId="2" applyFont="1" applyFill="1" applyBorder="1" applyAlignment="1">
      <alignment horizontal="center" vertical="center" wrapText="1"/>
    </xf>
    <xf numFmtId="49" fontId="12" fillId="3" borderId="65" xfId="2" applyFont="1" applyFill="1" applyBorder="1" applyAlignment="1">
      <alignment horizontal="center" vertical="center" wrapText="1"/>
    </xf>
    <xf numFmtId="49" fontId="12" fillId="3" borderId="72" xfId="2" applyFont="1" applyFill="1" applyBorder="1" applyAlignment="1">
      <alignment horizontal="center" vertical="center" wrapText="1"/>
    </xf>
    <xf numFmtId="49" fontId="12" fillId="3" borderId="73" xfId="2" applyFont="1" applyFill="1" applyBorder="1" applyAlignment="1">
      <alignment horizontal="center" vertical="center" wrapText="1"/>
    </xf>
    <xf numFmtId="49" fontId="12" fillId="3" borderId="74" xfId="2" applyFont="1" applyFill="1" applyBorder="1" applyAlignment="1">
      <alignment horizontal="center" vertical="center" wrapText="1"/>
    </xf>
    <xf numFmtId="49" fontId="12" fillId="3" borderId="76" xfId="2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6" fillId="3" borderId="78" xfId="0" applyFont="1" applyFill="1" applyBorder="1" applyAlignment="1">
      <alignment horizontal="center" vertical="center"/>
    </xf>
    <xf numFmtId="0" fontId="16" fillId="3" borderId="79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21" fillId="3" borderId="22" xfId="1" applyFont="1" applyFill="1" applyBorder="1" applyAlignment="1">
      <alignment vertical="center"/>
    </xf>
    <xf numFmtId="0" fontId="21" fillId="3" borderId="82" xfId="1" applyFont="1" applyFill="1" applyBorder="1" applyAlignment="1">
      <alignment vertical="center"/>
    </xf>
    <xf numFmtId="0" fontId="21" fillId="3" borderId="81" xfId="0" applyFont="1" applyFill="1" applyBorder="1" applyAlignment="1">
      <alignment horizontal="center" vertical="center"/>
    </xf>
    <xf numFmtId="0" fontId="21" fillId="3" borderId="88" xfId="0" applyFont="1" applyFill="1" applyBorder="1" applyAlignment="1">
      <alignment horizontal="center" vertical="center"/>
    </xf>
    <xf numFmtId="49" fontId="12" fillId="3" borderId="22" xfId="2" applyFont="1" applyFill="1" applyBorder="1" applyAlignment="1">
      <alignment horizontal="center" vertical="center" wrapText="1"/>
    </xf>
    <xf numFmtId="49" fontId="12" fillId="3" borderId="82" xfId="2" applyFont="1" applyFill="1" applyBorder="1" applyAlignment="1">
      <alignment horizontal="center" vertical="center" wrapText="1"/>
    </xf>
    <xf numFmtId="0" fontId="12" fillId="3" borderId="8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49" fontId="12" fillId="3" borderId="22" xfId="2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12" fillId="3" borderId="82" xfId="0" applyFont="1" applyFill="1" applyBorder="1" applyAlignment="1">
      <alignment horizontal="center" vertical="center"/>
    </xf>
    <xf numFmtId="0" fontId="1" fillId="3" borderId="22" xfId="0" applyFont="1" applyFill="1" applyBorder="1"/>
    <xf numFmtId="0" fontId="1" fillId="3" borderId="82" xfId="0" applyFont="1" applyFill="1" applyBorder="1"/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6" fillId="3" borderId="22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3" borderId="42" xfId="1" applyFont="1" applyFill="1" applyBorder="1" applyAlignment="1">
      <alignment horizontal="center" vertical="center"/>
    </xf>
    <xf numFmtId="0" fontId="12" fillId="3" borderId="41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 wrapText="1"/>
    </xf>
    <xf numFmtId="0" fontId="12" fillId="3" borderId="32" xfId="1" applyFont="1" applyFill="1" applyBorder="1" applyAlignment="1">
      <alignment horizontal="center" vertical="center" wrapText="1"/>
    </xf>
    <xf numFmtId="0" fontId="12" fillId="3" borderId="22" xfId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top" wrapText="1"/>
    </xf>
    <xf numFmtId="0" fontId="14" fillId="0" borderId="13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2" fillId="3" borderId="32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2" fillId="3" borderId="21" xfId="1" applyFont="1" applyFill="1" applyBorder="1" applyAlignment="1">
      <alignment vertical="center"/>
    </xf>
    <xf numFmtId="0" fontId="12" fillId="3" borderId="0" xfId="1" applyFont="1" applyFill="1" applyAlignment="1">
      <alignment vertical="center"/>
    </xf>
    <xf numFmtId="0" fontId="16" fillId="3" borderId="22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3" fillId="3" borderId="22" xfId="0" applyFont="1" applyFill="1" applyBorder="1"/>
    <xf numFmtId="0" fontId="15" fillId="3" borderId="22" xfId="1" applyFont="1" applyFill="1" applyBorder="1" applyAlignment="1">
      <alignment horizontal="center" vertical="center" wrapText="1"/>
    </xf>
    <xf numFmtId="0" fontId="21" fillId="3" borderId="34" xfId="1" applyFont="1" applyFill="1" applyBorder="1" applyAlignment="1">
      <alignment horizontal="center" vertical="center" wrapText="1"/>
    </xf>
    <xf numFmtId="0" fontId="21" fillId="3" borderId="35" xfId="1" applyFont="1" applyFill="1" applyBorder="1" applyAlignment="1">
      <alignment horizontal="center" vertical="center" wrapText="1"/>
    </xf>
    <xf numFmtId="0" fontId="21" fillId="3" borderId="21" xfId="1" applyFont="1" applyFill="1" applyBorder="1" applyAlignment="1">
      <alignment horizontal="center" vertical="center" wrapText="1"/>
    </xf>
    <xf numFmtId="0" fontId="21" fillId="3" borderId="39" xfId="1" applyFont="1" applyFill="1" applyBorder="1" applyAlignment="1">
      <alignment horizontal="center" vertical="center" wrapText="1"/>
    </xf>
    <xf numFmtId="0" fontId="21" fillId="3" borderId="40" xfId="1" applyFont="1" applyFill="1" applyBorder="1" applyAlignment="1">
      <alignment horizontal="center" vertical="center" wrapText="1"/>
    </xf>
    <xf numFmtId="0" fontId="21" fillId="3" borderId="41" xfId="1" applyFont="1" applyFill="1" applyBorder="1" applyAlignment="1">
      <alignment horizontal="center" vertical="center" wrapText="1"/>
    </xf>
    <xf numFmtId="0" fontId="21" fillId="3" borderId="32" xfId="1" applyFont="1" applyFill="1" applyBorder="1" applyAlignment="1">
      <alignment horizontal="center" vertical="center" wrapText="1"/>
    </xf>
    <xf numFmtId="0" fontId="21" fillId="3" borderId="38" xfId="1" applyFont="1" applyFill="1" applyBorder="1" applyAlignment="1">
      <alignment horizontal="center" vertical="center" wrapText="1"/>
    </xf>
    <xf numFmtId="0" fontId="21" fillId="3" borderId="33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/>
    </xf>
    <xf numFmtId="0" fontId="16" fillId="3" borderId="24" xfId="1" applyFont="1" applyFill="1" applyBorder="1" applyAlignment="1">
      <alignment horizontal="center" vertical="center"/>
    </xf>
    <xf numFmtId="0" fontId="16" fillId="3" borderId="25" xfId="1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/>
    </xf>
    <xf numFmtId="0" fontId="15" fillId="3" borderId="25" xfId="1" applyFont="1" applyFill="1" applyBorder="1" applyAlignment="1">
      <alignment horizontal="center" vertical="center"/>
    </xf>
    <xf numFmtId="0" fontId="21" fillId="3" borderId="23" xfId="1" applyFont="1" applyFill="1" applyBorder="1" applyAlignment="1">
      <alignment horizontal="center" vertical="center" wrapText="1"/>
    </xf>
    <xf numFmtId="0" fontId="21" fillId="3" borderId="25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vertical="center"/>
    </xf>
    <xf numFmtId="164" fontId="12" fillId="3" borderId="22" xfId="0" applyNumberFormat="1" applyFont="1" applyFill="1" applyBorder="1" applyAlignment="1">
      <alignment horizontal="center" vertical="center" wrapText="1"/>
    </xf>
    <xf numFmtId="0" fontId="16" fillId="3" borderId="22" xfId="4" applyFont="1" applyFill="1" applyBorder="1" applyAlignment="1">
      <alignment horizontal="center"/>
    </xf>
    <xf numFmtId="0" fontId="16" fillId="3" borderId="22" xfId="1" applyFont="1" applyFill="1" applyBorder="1" applyAlignment="1">
      <alignment vertical="center"/>
    </xf>
    <xf numFmtId="0" fontId="21" fillId="3" borderId="22" xfId="4" applyFont="1" applyFill="1" applyBorder="1" applyAlignment="1">
      <alignment horizontal="center" vertical="center"/>
    </xf>
    <xf numFmtId="0" fontId="21" fillId="3" borderId="32" xfId="4" applyFont="1" applyFill="1" applyBorder="1" applyAlignment="1">
      <alignment horizontal="center" vertical="center"/>
    </xf>
    <xf numFmtId="0" fontId="21" fillId="3" borderId="22" xfId="4" applyFont="1" applyFill="1" applyBorder="1" applyAlignment="1">
      <alignment horizontal="center"/>
    </xf>
  </cellXfs>
  <cellStyles count="8">
    <cellStyle name="Millares" xfId="5" builtinId="3"/>
    <cellStyle name="Normal" xfId="0" builtinId="0"/>
    <cellStyle name="Normal 2" xfId="4" xr:uid="{00000000-0005-0000-0000-000001000000}"/>
    <cellStyle name="Normal 3" xfId="7" xr:uid="{53741C61-A2D1-49A0-881A-27022E687A5F}"/>
    <cellStyle name="Normal_ESTR98" xfId="3" xr:uid="{00000000-0005-0000-0000-000002000000}"/>
    <cellStyle name="Normal_PLAZAS98" xfId="1" xr:uid="{00000000-0005-0000-0000-000003000000}"/>
    <cellStyle name="Normal_SPGG98" xfId="2" xr:uid="{00000000-0005-0000-0000-000004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opLeftCell="D1" zoomScale="99" zoomScaleNormal="99" workbookViewId="0">
      <selection activeCell="U9" sqref="U9"/>
    </sheetView>
  </sheetViews>
  <sheetFormatPr baseColWidth="10" defaultColWidth="2" defaultRowHeight="11.25" x14ac:dyDescent="0.2"/>
  <cols>
    <col min="1" max="1" width="21.42578125" style="3" customWidth="1"/>
    <col min="2" max="2" width="9.5703125" style="3" customWidth="1"/>
    <col min="3" max="3" width="18.5703125" style="3" customWidth="1"/>
    <col min="4" max="4" width="17.5703125" style="3" customWidth="1"/>
    <col min="5" max="5" width="7.5703125" style="3" customWidth="1"/>
    <col min="6" max="6" width="8.140625" style="3" customWidth="1"/>
    <col min="7" max="7" width="9.5703125" style="3" customWidth="1"/>
    <col min="8" max="8" width="11.42578125" style="3" customWidth="1"/>
    <col min="9" max="9" width="10.5703125" style="3" customWidth="1"/>
    <col min="10" max="10" width="8" style="3" customWidth="1"/>
    <col min="11" max="11" width="9.5703125" style="3" customWidth="1"/>
    <col min="12" max="12" width="10.5703125" style="3" customWidth="1"/>
    <col min="13" max="13" width="9.42578125" style="3" customWidth="1"/>
    <col min="14" max="14" width="10.85546875" style="3" customWidth="1"/>
    <col min="15" max="15" width="7.140625" style="3" customWidth="1"/>
    <col min="16" max="16" width="11.140625" style="3" customWidth="1"/>
    <col min="17" max="17" width="13.140625" style="3" customWidth="1"/>
    <col min="18" max="18" width="9.5703125" style="3" customWidth="1"/>
    <col min="19" max="19" width="12.42578125" style="3" customWidth="1"/>
    <col min="20" max="20" width="15" style="3" customWidth="1"/>
    <col min="21" max="21" width="8.5703125" style="3" customWidth="1"/>
    <col min="22" max="16384" width="2" style="3"/>
  </cols>
  <sheetData>
    <row r="1" spans="1:19" ht="21" customHeight="1" x14ac:dyDescent="0.2">
      <c r="A1" s="308" t="s">
        <v>140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19" ht="21" customHeight="1" x14ac:dyDescent="0.2">
      <c r="A2" s="309" t="s">
        <v>616</v>
      </c>
      <c r="B2" s="309"/>
      <c r="C2" s="309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</row>
    <row r="3" spans="1:19" ht="12.75" x14ac:dyDescent="0.2">
      <c r="A3" s="307" t="s">
        <v>0</v>
      </c>
      <c r="B3" s="307" t="s">
        <v>1</v>
      </c>
      <c r="C3" s="307" t="s">
        <v>2</v>
      </c>
      <c r="D3" s="307" t="s">
        <v>3</v>
      </c>
      <c r="E3" s="307" t="s">
        <v>27</v>
      </c>
      <c r="F3" s="307" t="s">
        <v>4</v>
      </c>
      <c r="G3" s="307"/>
      <c r="H3" s="307">
        <v>2021</v>
      </c>
      <c r="I3" s="307"/>
      <c r="J3" s="307"/>
      <c r="K3" s="307"/>
      <c r="L3" s="307"/>
      <c r="M3" s="307" t="s">
        <v>138</v>
      </c>
      <c r="N3" s="307"/>
      <c r="O3" s="307"/>
      <c r="P3" s="307"/>
      <c r="Q3" s="307"/>
      <c r="R3" s="307" t="s">
        <v>139</v>
      </c>
      <c r="S3" s="307"/>
    </row>
    <row r="4" spans="1:19" ht="20.45" customHeight="1" x14ac:dyDescent="0.2">
      <c r="A4" s="307"/>
      <c r="B4" s="307"/>
      <c r="C4" s="307"/>
      <c r="D4" s="307"/>
      <c r="E4" s="307"/>
      <c r="F4" s="307" t="s">
        <v>28</v>
      </c>
      <c r="G4" s="307" t="s">
        <v>29</v>
      </c>
      <c r="H4" s="307" t="s">
        <v>31</v>
      </c>
      <c r="I4" s="307" t="s">
        <v>32</v>
      </c>
      <c r="J4" s="307" t="s">
        <v>30</v>
      </c>
      <c r="K4" s="307" t="s">
        <v>215</v>
      </c>
      <c r="L4" s="307"/>
      <c r="M4" s="129"/>
      <c r="N4" s="129"/>
      <c r="O4" s="129"/>
      <c r="P4" s="307" t="s">
        <v>215</v>
      </c>
      <c r="Q4" s="307"/>
      <c r="R4" s="307" t="s">
        <v>31</v>
      </c>
      <c r="S4" s="307" t="s">
        <v>33</v>
      </c>
    </row>
    <row r="5" spans="1:19" ht="51" x14ac:dyDescent="0.2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129" t="s">
        <v>216</v>
      </c>
      <c r="L5" s="129" t="s">
        <v>217</v>
      </c>
      <c r="M5" s="129" t="s">
        <v>31</v>
      </c>
      <c r="N5" s="129" t="s">
        <v>32</v>
      </c>
      <c r="O5" s="129" t="s">
        <v>30</v>
      </c>
      <c r="P5" s="129" t="s">
        <v>216</v>
      </c>
      <c r="Q5" s="129" t="s">
        <v>217</v>
      </c>
      <c r="R5" s="307"/>
      <c r="S5" s="307"/>
    </row>
    <row r="6" spans="1:19" ht="33.75" x14ac:dyDescent="0.2">
      <c r="A6" s="311" t="s">
        <v>225</v>
      </c>
      <c r="B6" s="313" t="s">
        <v>601</v>
      </c>
      <c r="C6" s="315" t="s">
        <v>602</v>
      </c>
      <c r="D6" s="295" t="s">
        <v>603</v>
      </c>
      <c r="E6" s="12" t="s">
        <v>30</v>
      </c>
      <c r="F6" s="301">
        <v>100</v>
      </c>
      <c r="G6" s="252">
        <v>2017</v>
      </c>
      <c r="H6" s="301">
        <v>100</v>
      </c>
      <c r="I6" s="301">
        <v>98.6</v>
      </c>
      <c r="J6" s="297">
        <f>+I6/H6*100</f>
        <v>98.6</v>
      </c>
      <c r="K6" s="317">
        <f>23643103+1680</f>
        <v>23644783</v>
      </c>
      <c r="L6" s="319">
        <f>+L13/K6*100</f>
        <v>0</v>
      </c>
      <c r="M6" s="252">
        <v>100</v>
      </c>
      <c r="N6" s="252">
        <v>80.45</v>
      </c>
      <c r="O6" s="297">
        <f>N6/M6*100</f>
        <v>80.45</v>
      </c>
      <c r="P6" s="317">
        <v>29411307</v>
      </c>
      <c r="Q6" s="321">
        <v>100</v>
      </c>
      <c r="R6" s="252">
        <v>100</v>
      </c>
      <c r="S6" s="305">
        <v>26550132</v>
      </c>
    </row>
    <row r="7" spans="1:19" ht="22.5" x14ac:dyDescent="0.2">
      <c r="A7" s="312"/>
      <c r="B7" s="314"/>
      <c r="C7" s="316"/>
      <c r="D7" s="295" t="s">
        <v>604</v>
      </c>
      <c r="E7" s="11" t="s">
        <v>605</v>
      </c>
      <c r="F7" s="297">
        <v>2.38</v>
      </c>
      <c r="G7" s="252">
        <v>2017</v>
      </c>
      <c r="H7" s="297">
        <v>15.53</v>
      </c>
      <c r="I7" s="302">
        <v>0.15529999999999999</v>
      </c>
      <c r="J7" s="297">
        <v>100</v>
      </c>
      <c r="K7" s="318"/>
      <c r="L7" s="320"/>
      <c r="M7" s="252">
        <v>17.62</v>
      </c>
      <c r="N7" s="297">
        <v>10</v>
      </c>
      <c r="O7" s="297">
        <f>N7/M7*100</f>
        <v>56.753688989784337</v>
      </c>
      <c r="P7" s="318"/>
      <c r="Q7" s="318"/>
      <c r="R7" s="252">
        <v>17.62</v>
      </c>
      <c r="S7" s="306"/>
    </row>
    <row r="8" spans="1:19" ht="90" x14ac:dyDescent="0.2">
      <c r="A8" s="312"/>
      <c r="B8" s="314"/>
      <c r="C8" s="2" t="s">
        <v>606</v>
      </c>
      <c r="D8" s="2" t="s">
        <v>607</v>
      </c>
      <c r="E8" s="11" t="s">
        <v>608</v>
      </c>
      <c r="F8" s="252">
        <v>40</v>
      </c>
      <c r="G8" s="252">
        <v>2017</v>
      </c>
      <c r="H8" s="252">
        <v>45</v>
      </c>
      <c r="I8" s="252">
        <v>62</v>
      </c>
      <c r="J8" s="297">
        <f>+I8/H8*100</f>
        <v>137.77777777777777</v>
      </c>
      <c r="K8" s="298">
        <v>2381710</v>
      </c>
      <c r="L8" s="297">
        <f>+L15/K8*100</f>
        <v>0</v>
      </c>
      <c r="M8" s="252">
        <v>45</v>
      </c>
      <c r="N8" s="252">
        <v>65</v>
      </c>
      <c r="O8" s="297">
        <f>+N8/M8*100</f>
        <v>144.44444444444443</v>
      </c>
      <c r="P8" s="296">
        <v>858519</v>
      </c>
      <c r="Q8" s="299">
        <v>100</v>
      </c>
      <c r="R8" s="252">
        <v>45</v>
      </c>
      <c r="S8" s="296">
        <v>928067</v>
      </c>
    </row>
    <row r="9" spans="1:19" ht="33.75" x14ac:dyDescent="0.2">
      <c r="A9" s="312"/>
      <c r="B9" s="313" t="s">
        <v>609</v>
      </c>
      <c r="C9" s="2" t="s">
        <v>610</v>
      </c>
      <c r="D9" s="2" t="s">
        <v>611</v>
      </c>
      <c r="E9" s="11" t="s">
        <v>30</v>
      </c>
      <c r="F9" s="252">
        <v>90</v>
      </c>
      <c r="G9" s="252">
        <v>2017</v>
      </c>
      <c r="H9" s="252">
        <v>90</v>
      </c>
      <c r="I9" s="252">
        <v>90</v>
      </c>
      <c r="J9" s="297">
        <f>+I9/H9*100</f>
        <v>100</v>
      </c>
      <c r="K9" s="298">
        <v>19995442</v>
      </c>
      <c r="L9" s="297">
        <f>+L14/K9*100</f>
        <v>0</v>
      </c>
      <c r="M9" s="252">
        <v>90</v>
      </c>
      <c r="N9" s="252">
        <v>90</v>
      </c>
      <c r="O9" s="297">
        <f t="shared" ref="O9:O10" si="0">+N9/M9*100</f>
        <v>100</v>
      </c>
      <c r="P9" s="296">
        <v>13984921</v>
      </c>
      <c r="Q9" s="252">
        <v>100</v>
      </c>
      <c r="R9" s="252">
        <v>90</v>
      </c>
      <c r="S9" s="296">
        <f>13988807+1222477-58000</f>
        <v>15153284</v>
      </c>
    </row>
    <row r="10" spans="1:19" ht="56.25" x14ac:dyDescent="0.2">
      <c r="A10" s="312"/>
      <c r="B10" s="314"/>
      <c r="C10" s="2" t="s">
        <v>612</v>
      </c>
      <c r="D10" s="2" t="s">
        <v>613</v>
      </c>
      <c r="E10" s="11" t="s">
        <v>608</v>
      </c>
      <c r="F10" s="252" t="s">
        <v>614</v>
      </c>
      <c r="G10" s="252">
        <v>2017</v>
      </c>
      <c r="H10" s="252">
        <v>3</v>
      </c>
      <c r="I10" s="252">
        <v>1</v>
      </c>
      <c r="J10" s="297">
        <f>+I10/H10*100</f>
        <v>33.333333333333329</v>
      </c>
      <c r="K10" s="298">
        <v>0</v>
      </c>
      <c r="L10" s="297">
        <v>0</v>
      </c>
      <c r="M10" s="252">
        <v>3</v>
      </c>
      <c r="N10" s="252">
        <v>3</v>
      </c>
      <c r="O10" s="297">
        <f t="shared" si="0"/>
        <v>100</v>
      </c>
      <c r="P10" s="296">
        <v>0</v>
      </c>
      <c r="Q10" s="300">
        <v>0</v>
      </c>
      <c r="R10" s="252">
        <v>3</v>
      </c>
      <c r="S10" s="296">
        <v>58000</v>
      </c>
    </row>
    <row r="11" spans="1:19" x14ac:dyDescent="0.2">
      <c r="A11" s="31" t="s">
        <v>49</v>
      </c>
      <c r="K11" s="303"/>
      <c r="L11" s="303"/>
      <c r="P11" s="304"/>
      <c r="S11" s="303"/>
    </row>
    <row r="12" spans="1:19" x14ac:dyDescent="0.2">
      <c r="A12" s="32" t="s">
        <v>50</v>
      </c>
    </row>
  </sheetData>
  <mergeCells count="30">
    <mergeCell ref="R4:R5"/>
    <mergeCell ref="A6:A10"/>
    <mergeCell ref="B6:B8"/>
    <mergeCell ref="C6:C7"/>
    <mergeCell ref="K6:K7"/>
    <mergeCell ref="L6:L7"/>
    <mergeCell ref="P6:P7"/>
    <mergeCell ref="Q6:Q7"/>
    <mergeCell ref="B9:B10"/>
    <mergeCell ref="G4:G5"/>
    <mergeCell ref="H4:H5"/>
    <mergeCell ref="I4:I5"/>
    <mergeCell ref="K4:L4"/>
    <mergeCell ref="P4:Q4"/>
    <mergeCell ref="S6:S7"/>
    <mergeCell ref="S4:S5"/>
    <mergeCell ref="J4:J5"/>
    <mergeCell ref="A1:S1"/>
    <mergeCell ref="A2:C2"/>
    <mergeCell ref="D2:S2"/>
    <mergeCell ref="A3:A5"/>
    <mergeCell ref="B3:B5"/>
    <mergeCell ref="C3:C5"/>
    <mergeCell ref="D3:D5"/>
    <mergeCell ref="E3:E5"/>
    <mergeCell ref="F3:G3"/>
    <mergeCell ref="H3:L3"/>
    <mergeCell ref="M3:Q3"/>
    <mergeCell ref="R3:S3"/>
    <mergeCell ref="F4:F5"/>
  </mergeCells>
  <pageMargins left="0.25" right="0.25" top="0.75" bottom="0.75" header="0.3" footer="0.3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18"/>
  <sheetViews>
    <sheetView topLeftCell="J1" workbookViewId="0">
      <selection activeCell="C16" sqref="C16"/>
    </sheetView>
  </sheetViews>
  <sheetFormatPr baseColWidth="10" defaultColWidth="11.42578125" defaultRowHeight="12" x14ac:dyDescent="0.2"/>
  <cols>
    <col min="1" max="1" width="24.42578125" style="17" customWidth="1"/>
    <col min="2" max="2" width="10" style="17" customWidth="1"/>
    <col min="3" max="3" width="15.5703125" style="17" customWidth="1"/>
    <col min="4" max="4" width="12" style="17" customWidth="1"/>
    <col min="5" max="5" width="15.140625" style="17" customWidth="1"/>
    <col min="6" max="7" width="14" style="17" customWidth="1"/>
    <col min="8" max="8" width="15.5703125" style="17" customWidth="1"/>
    <col min="9" max="9" width="12.42578125" style="17" customWidth="1"/>
    <col min="10" max="10" width="12.5703125" style="17" customWidth="1"/>
    <col min="11" max="11" width="9.5703125" style="17" customWidth="1"/>
    <col min="12" max="12" width="13.85546875" style="17" customWidth="1"/>
    <col min="13" max="13" width="11" style="17" customWidth="1"/>
    <col min="14" max="14" width="4.85546875" style="17" customWidth="1"/>
    <col min="15" max="15" width="8.85546875" style="17" customWidth="1"/>
    <col min="16" max="16" width="11.42578125" style="17" customWidth="1"/>
    <col min="17" max="17" width="8.140625" style="17" customWidth="1"/>
    <col min="18" max="18" width="13.5703125" style="17" customWidth="1"/>
    <col min="19" max="19" width="11.42578125" style="17"/>
    <col min="20" max="20" width="13.42578125" style="17" customWidth="1"/>
    <col min="21" max="21" width="8.42578125" style="17" customWidth="1"/>
    <col min="22" max="22" width="15.85546875" style="17" customWidth="1"/>
    <col min="23" max="23" width="12.42578125" style="17" customWidth="1"/>
    <col min="24" max="16384" width="11.42578125" style="17"/>
  </cols>
  <sheetData>
    <row r="1" spans="1:28" ht="29.25" customHeight="1" x14ac:dyDescent="0.2">
      <c r="A1" s="398" t="s">
        <v>209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400"/>
    </row>
    <row r="2" spans="1:28" ht="15.75" x14ac:dyDescent="0.2">
      <c r="A2" s="398" t="s">
        <v>153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400"/>
    </row>
    <row r="3" spans="1:28" ht="37.5" customHeight="1" x14ac:dyDescent="0.2">
      <c r="A3" s="341" t="s">
        <v>617</v>
      </c>
      <c r="B3" s="341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389" t="s">
        <v>161</v>
      </c>
      <c r="S3" s="390"/>
      <c r="T3" s="389" t="s">
        <v>152</v>
      </c>
      <c r="U3" s="390"/>
      <c r="V3" s="395" t="s">
        <v>154</v>
      </c>
      <c r="W3" s="386" t="s">
        <v>172</v>
      </c>
      <c r="X3" s="18"/>
      <c r="Y3" s="18"/>
      <c r="Z3" s="18"/>
      <c r="AA3" s="18"/>
      <c r="AB3" s="18"/>
    </row>
    <row r="4" spans="1:28" ht="12" hidden="1" customHeight="1" x14ac:dyDescent="0.2">
      <c r="A4" s="39" t="s">
        <v>87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1"/>
      <c r="S4" s="392"/>
      <c r="T4" s="391"/>
      <c r="U4" s="392"/>
      <c r="V4" s="396"/>
      <c r="W4" s="401"/>
    </row>
    <row r="5" spans="1:28" ht="27.75" customHeight="1" x14ac:dyDescent="0.2">
      <c r="A5" s="39"/>
      <c r="B5" s="395" t="s">
        <v>175</v>
      </c>
      <c r="C5" s="395" t="s">
        <v>155</v>
      </c>
      <c r="D5" s="395" t="s">
        <v>88</v>
      </c>
      <c r="E5" s="395" t="s">
        <v>156</v>
      </c>
      <c r="F5" s="395" t="s">
        <v>150</v>
      </c>
      <c r="G5" s="395" t="s">
        <v>89</v>
      </c>
      <c r="H5" s="395" t="s">
        <v>157</v>
      </c>
      <c r="I5" s="403" t="s">
        <v>162</v>
      </c>
      <c r="J5" s="404"/>
      <c r="K5" s="403" t="s">
        <v>90</v>
      </c>
      <c r="L5" s="404"/>
      <c r="M5" s="405" t="s">
        <v>165</v>
      </c>
      <c r="N5" s="406"/>
      <c r="O5" s="388" t="s">
        <v>174</v>
      </c>
      <c r="P5" s="388"/>
      <c r="Q5" s="388"/>
      <c r="R5" s="393"/>
      <c r="S5" s="394"/>
      <c r="T5" s="393"/>
      <c r="U5" s="394"/>
      <c r="V5" s="397"/>
      <c r="W5" s="402"/>
    </row>
    <row r="6" spans="1:28" ht="51" customHeight="1" x14ac:dyDescent="0.2">
      <c r="A6" s="41" t="s">
        <v>151</v>
      </c>
      <c r="B6" s="397"/>
      <c r="C6" s="397"/>
      <c r="D6" s="397"/>
      <c r="E6" s="397"/>
      <c r="F6" s="397"/>
      <c r="G6" s="397"/>
      <c r="H6" s="397"/>
      <c r="I6" s="41" t="s">
        <v>163</v>
      </c>
      <c r="J6" s="41" t="s">
        <v>164</v>
      </c>
      <c r="K6" s="41" t="s">
        <v>166</v>
      </c>
      <c r="L6" s="41" t="s">
        <v>167</v>
      </c>
      <c r="M6" s="44" t="s">
        <v>168</v>
      </c>
      <c r="N6" s="43" t="s">
        <v>30</v>
      </c>
      <c r="O6" s="42" t="s">
        <v>169</v>
      </c>
      <c r="P6" s="45" t="s">
        <v>170</v>
      </c>
      <c r="Q6" s="42" t="s">
        <v>171</v>
      </c>
      <c r="R6" s="163">
        <v>2021</v>
      </c>
      <c r="S6" s="163" t="s">
        <v>138</v>
      </c>
      <c r="T6" s="41" t="s">
        <v>93</v>
      </c>
      <c r="U6" s="39" t="s">
        <v>30</v>
      </c>
      <c r="V6" s="209" t="s">
        <v>139</v>
      </c>
      <c r="W6" s="100" t="s">
        <v>173</v>
      </c>
    </row>
    <row r="7" spans="1:28" x14ac:dyDescent="0.2">
      <c r="A7" s="36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21"/>
      <c r="S7" s="21"/>
      <c r="T7" s="21"/>
      <c r="U7" s="21"/>
      <c r="V7" s="46"/>
      <c r="W7" s="19"/>
    </row>
    <row r="8" spans="1:28" x14ac:dyDescent="0.2">
      <c r="A8" s="34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9"/>
      <c r="S8" s="19"/>
      <c r="T8" s="19"/>
      <c r="U8" s="19"/>
      <c r="V8" s="47"/>
      <c r="W8" s="19"/>
    </row>
    <row r="9" spans="1:28" ht="15.75" x14ac:dyDescent="0.2">
      <c r="A9" s="34"/>
      <c r="B9" s="34"/>
      <c r="C9" s="33"/>
      <c r="D9" s="33"/>
      <c r="E9" s="33"/>
      <c r="F9" s="33"/>
      <c r="G9" s="33"/>
      <c r="H9" s="33"/>
      <c r="I9" s="377" t="s">
        <v>223</v>
      </c>
      <c r="J9" s="378"/>
      <c r="K9" s="33"/>
      <c r="L9" s="33"/>
      <c r="M9" s="33"/>
      <c r="N9" s="33"/>
      <c r="O9" s="33"/>
      <c r="P9" s="33"/>
      <c r="Q9" s="33"/>
      <c r="R9" s="19"/>
      <c r="S9" s="19"/>
      <c r="T9" s="19"/>
      <c r="U9" s="19"/>
      <c r="V9" s="47"/>
      <c r="W9" s="19"/>
    </row>
    <row r="10" spans="1:28" x14ac:dyDescent="0.2">
      <c r="A10" s="34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19"/>
      <c r="S10" s="19"/>
      <c r="T10" s="19"/>
      <c r="U10" s="19"/>
      <c r="V10" s="47"/>
      <c r="W10" s="19"/>
    </row>
    <row r="11" spans="1:28" x14ac:dyDescent="0.2">
      <c r="A11" s="60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20"/>
      <c r="S11" s="20"/>
      <c r="T11" s="20"/>
      <c r="U11" s="20"/>
      <c r="V11" s="63"/>
      <c r="W11" s="20"/>
    </row>
    <row r="12" spans="1:28" ht="24" customHeight="1" x14ac:dyDescent="0.25">
      <c r="A12" s="39" t="s">
        <v>9</v>
      </c>
      <c r="B12" s="5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64"/>
      <c r="S12" s="64"/>
      <c r="T12" s="64"/>
      <c r="U12" s="64"/>
      <c r="V12" s="387"/>
      <c r="W12" s="387"/>
      <c r="X12" s="48"/>
    </row>
    <row r="13" spans="1:28" x14ac:dyDescent="0.2">
      <c r="A13" s="32" t="s">
        <v>158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28" x14ac:dyDescent="0.2">
      <c r="A14" s="31" t="s">
        <v>159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28" x14ac:dyDescent="0.2">
      <c r="A15" s="32" t="s">
        <v>160</v>
      </c>
      <c r="B15" s="24"/>
    </row>
    <row r="16" spans="1:28" x14ac:dyDescent="0.2">
      <c r="A16" s="24"/>
    </row>
    <row r="17" spans="1:8" x14ac:dyDescent="0.2">
      <c r="A17" s="24"/>
      <c r="H17" s="35"/>
    </row>
    <row r="18" spans="1:8" x14ac:dyDescent="0.2">
      <c r="A18" s="24"/>
    </row>
  </sheetData>
  <mergeCells count="21">
    <mergeCell ref="I9:J9"/>
    <mergeCell ref="K5:L5"/>
    <mergeCell ref="M5:N5"/>
    <mergeCell ref="A3:B3"/>
    <mergeCell ref="C3:Q3"/>
    <mergeCell ref="A1:W1"/>
    <mergeCell ref="A2:W2"/>
    <mergeCell ref="W3:W5"/>
    <mergeCell ref="B5:B6"/>
    <mergeCell ref="C5:C6"/>
    <mergeCell ref="D5:D6"/>
    <mergeCell ref="E5:E6"/>
    <mergeCell ref="F5:F6"/>
    <mergeCell ref="G5:G6"/>
    <mergeCell ref="H5:H6"/>
    <mergeCell ref="I5:J5"/>
    <mergeCell ref="V12:W12"/>
    <mergeCell ref="O5:Q5"/>
    <mergeCell ref="R3:S5"/>
    <mergeCell ref="T3:U5"/>
    <mergeCell ref="V3:V5"/>
  </mergeCells>
  <pageMargins left="0.11811023622047245" right="0" top="0.74803149606299213" bottom="0.74803149606299213" header="0.31496062992125984" footer="0.31496062992125984"/>
  <pageSetup paperSize="9" scale="48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R118"/>
  <sheetViews>
    <sheetView topLeftCell="D54" workbookViewId="0">
      <selection activeCell="S9" sqref="S9"/>
    </sheetView>
  </sheetViews>
  <sheetFormatPr baseColWidth="10" defaultColWidth="11.42578125" defaultRowHeight="12" x14ac:dyDescent="0.2"/>
  <cols>
    <col min="1" max="1" width="18.5703125" style="17" customWidth="1"/>
    <col min="2" max="2" width="17.85546875" style="17" customWidth="1"/>
    <col min="3" max="3" width="26.140625" style="17" customWidth="1"/>
    <col min="4" max="4" width="18.5703125" style="17" customWidth="1"/>
    <col min="5" max="5" width="17" style="17" customWidth="1"/>
    <col min="6" max="6" width="13.42578125" style="17" customWidth="1"/>
    <col min="7" max="7" width="18.5703125" style="17" customWidth="1"/>
    <col min="8" max="8" width="13.5703125" style="17" customWidth="1"/>
    <col min="9" max="9" width="17.140625" style="17" customWidth="1"/>
    <col min="10" max="10" width="18.5703125" style="17" customWidth="1"/>
    <col min="11" max="11" width="7.140625" style="27" customWidth="1"/>
    <col min="12" max="12" width="13.140625" style="27" customWidth="1"/>
    <col min="13" max="13" width="9.140625" style="17" customWidth="1"/>
    <col min="14" max="15" width="7.140625" style="17" customWidth="1"/>
    <col min="16" max="16" width="8.85546875" style="17" customWidth="1"/>
    <col min="17" max="16384" width="11.42578125" style="17"/>
  </cols>
  <sheetData>
    <row r="2" spans="1:18" ht="15.75" x14ac:dyDescent="0.2">
      <c r="A2" s="380" t="s">
        <v>210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18" ht="12.75" x14ac:dyDescent="0.2">
      <c r="A3" s="341" t="s">
        <v>617</v>
      </c>
      <c r="B3" s="341"/>
      <c r="C3" s="382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</row>
    <row r="4" spans="1:18" ht="12.75" x14ac:dyDescent="0.2">
      <c r="A4" s="355" t="s">
        <v>105</v>
      </c>
      <c r="B4" s="355"/>
      <c r="C4" s="355"/>
      <c r="D4" s="355"/>
      <c r="E4" s="355"/>
      <c r="F4" s="355" t="s">
        <v>106</v>
      </c>
      <c r="G4" s="355"/>
      <c r="H4" s="355"/>
      <c r="I4" s="355"/>
      <c r="J4" s="355"/>
      <c r="K4" s="408" t="s">
        <v>193</v>
      </c>
      <c r="L4" s="408"/>
      <c r="M4" s="408"/>
      <c r="N4" s="408" t="s">
        <v>194</v>
      </c>
      <c r="O4" s="408"/>
      <c r="P4" s="408"/>
      <c r="Q4" s="355" t="s">
        <v>219</v>
      </c>
      <c r="R4" s="355"/>
    </row>
    <row r="5" spans="1:18" ht="112.5" thickBot="1" x14ac:dyDescent="0.25">
      <c r="A5" s="83" t="s">
        <v>99</v>
      </c>
      <c r="B5" s="90" t="s">
        <v>107</v>
      </c>
      <c r="C5" s="83" t="s">
        <v>108</v>
      </c>
      <c r="D5" s="83" t="s">
        <v>109</v>
      </c>
      <c r="E5" s="90" t="s">
        <v>110</v>
      </c>
      <c r="F5" s="83" t="s">
        <v>111</v>
      </c>
      <c r="G5" s="83" t="s">
        <v>112</v>
      </c>
      <c r="H5" s="83" t="s">
        <v>113</v>
      </c>
      <c r="I5" s="83" t="s">
        <v>114</v>
      </c>
      <c r="J5" s="83" t="s">
        <v>115</v>
      </c>
      <c r="K5" s="84" t="s">
        <v>116</v>
      </c>
      <c r="L5" s="84" t="s">
        <v>117</v>
      </c>
      <c r="M5" s="84" t="s">
        <v>118</v>
      </c>
      <c r="N5" s="84" t="s">
        <v>116</v>
      </c>
      <c r="O5" s="84" t="s">
        <v>117</v>
      </c>
      <c r="P5" s="84" t="s">
        <v>118</v>
      </c>
      <c r="Q5" s="84" t="s">
        <v>116</v>
      </c>
      <c r="R5" s="84" t="s">
        <v>221</v>
      </c>
    </row>
    <row r="6" spans="1:18" ht="24" x14ac:dyDescent="0.2">
      <c r="A6" s="210" t="s">
        <v>318</v>
      </c>
      <c r="B6" s="211" t="s">
        <v>319</v>
      </c>
      <c r="C6" s="211" t="s">
        <v>320</v>
      </c>
      <c r="D6" s="212" t="s">
        <v>321</v>
      </c>
      <c r="E6" s="213">
        <v>3000</v>
      </c>
      <c r="F6" s="214">
        <v>44958655</v>
      </c>
      <c r="G6" s="215" t="s">
        <v>322</v>
      </c>
      <c r="H6" s="216" t="s">
        <v>323</v>
      </c>
      <c r="I6" s="217" t="s">
        <v>324</v>
      </c>
      <c r="J6" s="218" t="s">
        <v>325</v>
      </c>
      <c r="K6" s="219">
        <v>1</v>
      </c>
      <c r="L6" s="220" t="s">
        <v>326</v>
      </c>
      <c r="M6" s="221">
        <f>100*243</f>
        <v>24300</v>
      </c>
      <c r="N6" s="222">
        <v>1</v>
      </c>
      <c r="O6" s="223" t="s">
        <v>327</v>
      </c>
      <c r="P6" s="224">
        <f>+E6*6</f>
        <v>18000</v>
      </c>
      <c r="Q6" s="222">
        <v>2</v>
      </c>
      <c r="R6" s="225">
        <f>12*E6</f>
        <v>36000</v>
      </c>
    </row>
    <row r="7" spans="1:18" ht="24" x14ac:dyDescent="0.2">
      <c r="A7" s="210" t="s">
        <v>318</v>
      </c>
      <c r="B7" s="211" t="s">
        <v>319</v>
      </c>
      <c r="C7" s="211" t="s">
        <v>320</v>
      </c>
      <c r="D7" s="212" t="s">
        <v>328</v>
      </c>
      <c r="E7" s="213">
        <v>5000</v>
      </c>
      <c r="F7" s="226">
        <v>47351405</v>
      </c>
      <c r="G7" s="215" t="s">
        <v>329</v>
      </c>
      <c r="H7" s="216" t="s">
        <v>323</v>
      </c>
      <c r="I7" s="217" t="s">
        <v>330</v>
      </c>
      <c r="J7" s="218" t="s">
        <v>331</v>
      </c>
      <c r="K7" s="219">
        <v>1</v>
      </c>
      <c r="L7" s="220" t="s">
        <v>332</v>
      </c>
      <c r="M7" s="221">
        <f>216*166.67</f>
        <v>36000.719999999994</v>
      </c>
      <c r="N7" s="231"/>
      <c r="O7" s="232"/>
      <c r="P7" s="221"/>
      <c r="Q7" s="231"/>
      <c r="R7" s="265"/>
    </row>
    <row r="8" spans="1:18" ht="24" x14ac:dyDescent="0.2">
      <c r="A8" s="210" t="s">
        <v>318</v>
      </c>
      <c r="B8" s="211" t="s">
        <v>319</v>
      </c>
      <c r="C8" s="211" t="s">
        <v>320</v>
      </c>
      <c r="D8" s="227" t="s">
        <v>333</v>
      </c>
      <c r="E8" s="228">
        <v>4500</v>
      </c>
      <c r="F8" s="230">
        <v>45108714</v>
      </c>
      <c r="G8" s="215" t="s">
        <v>334</v>
      </c>
      <c r="H8" s="216" t="s">
        <v>335</v>
      </c>
      <c r="I8" s="217" t="s">
        <v>330</v>
      </c>
      <c r="J8" s="218" t="s">
        <v>331</v>
      </c>
      <c r="K8" s="219">
        <v>1</v>
      </c>
      <c r="L8" s="220" t="s">
        <v>336</v>
      </c>
      <c r="M8" s="221">
        <f>125*150</f>
        <v>18750</v>
      </c>
      <c r="N8" s="231"/>
      <c r="O8" s="232"/>
      <c r="P8" s="221"/>
      <c r="Q8" s="231"/>
      <c r="R8" s="265"/>
    </row>
    <row r="9" spans="1:18" ht="48" x14ac:dyDescent="0.2">
      <c r="A9" s="210" t="s">
        <v>318</v>
      </c>
      <c r="B9" s="211" t="s">
        <v>319</v>
      </c>
      <c r="C9" s="211" t="s">
        <v>320</v>
      </c>
      <c r="D9" s="227" t="s">
        <v>337</v>
      </c>
      <c r="E9" s="228">
        <v>6000</v>
      </c>
      <c r="F9" s="230">
        <v>45108714</v>
      </c>
      <c r="G9" s="215" t="s">
        <v>334</v>
      </c>
      <c r="H9" s="216" t="s">
        <v>335</v>
      </c>
      <c r="I9" s="217" t="s">
        <v>330</v>
      </c>
      <c r="J9" s="218" t="s">
        <v>331</v>
      </c>
      <c r="K9" s="219">
        <v>1</v>
      </c>
      <c r="L9" s="220" t="s">
        <v>338</v>
      </c>
      <c r="M9" s="221">
        <f>234*200</f>
        <v>46800</v>
      </c>
      <c r="N9" s="231">
        <v>1</v>
      </c>
      <c r="O9" s="232" t="s">
        <v>339</v>
      </c>
      <c r="P9" s="221">
        <f>200*174</f>
        <v>34800</v>
      </c>
      <c r="Q9" s="231"/>
      <c r="R9" s="265"/>
    </row>
    <row r="10" spans="1:18" ht="48" x14ac:dyDescent="0.2">
      <c r="A10" s="210" t="s">
        <v>318</v>
      </c>
      <c r="B10" s="211" t="s">
        <v>319</v>
      </c>
      <c r="C10" s="211" t="s">
        <v>320</v>
      </c>
      <c r="D10" s="227" t="s">
        <v>337</v>
      </c>
      <c r="E10" s="228">
        <v>6000</v>
      </c>
      <c r="F10" s="230"/>
      <c r="G10" s="215"/>
      <c r="H10" s="216"/>
      <c r="I10" s="217"/>
      <c r="J10" s="218" t="s">
        <v>331</v>
      </c>
      <c r="K10" s="219"/>
      <c r="L10" s="220"/>
      <c r="M10" s="221"/>
      <c r="N10" s="231"/>
      <c r="O10" s="232"/>
      <c r="P10" s="221"/>
      <c r="Q10" s="231">
        <v>2</v>
      </c>
      <c r="R10" s="265">
        <f>12*E10</f>
        <v>72000</v>
      </c>
    </row>
    <row r="11" spans="1:18" ht="36" x14ac:dyDescent="0.2">
      <c r="A11" s="210" t="s">
        <v>318</v>
      </c>
      <c r="B11" s="211" t="s">
        <v>319</v>
      </c>
      <c r="C11" s="211" t="s">
        <v>320</v>
      </c>
      <c r="D11" s="227" t="s">
        <v>340</v>
      </c>
      <c r="E11" s="228">
        <v>3700</v>
      </c>
      <c r="F11" s="230">
        <v>45975209</v>
      </c>
      <c r="G11" s="215" t="s">
        <v>341</v>
      </c>
      <c r="H11" s="216" t="s">
        <v>342</v>
      </c>
      <c r="I11" s="217" t="s">
        <v>324</v>
      </c>
      <c r="J11" s="218" t="s">
        <v>325</v>
      </c>
      <c r="K11" s="219">
        <v>1</v>
      </c>
      <c r="L11" s="220">
        <v>12</v>
      </c>
      <c r="M11" s="221">
        <f>+E11*L11</f>
        <v>44400</v>
      </c>
      <c r="N11" s="231">
        <v>1</v>
      </c>
      <c r="O11" s="232" t="s">
        <v>327</v>
      </c>
      <c r="P11" s="221">
        <f>+E11*6</f>
        <v>22200</v>
      </c>
      <c r="Q11" s="231">
        <v>2</v>
      </c>
      <c r="R11" s="265">
        <f t="shared" ref="R11:R15" si="0">12*E11</f>
        <v>44400</v>
      </c>
    </row>
    <row r="12" spans="1:18" ht="24" x14ac:dyDescent="0.2">
      <c r="A12" s="210" t="s">
        <v>318</v>
      </c>
      <c r="B12" s="211" t="s">
        <v>319</v>
      </c>
      <c r="C12" s="211" t="s">
        <v>320</v>
      </c>
      <c r="D12" s="229" t="s">
        <v>343</v>
      </c>
      <c r="E12" s="228">
        <v>2000</v>
      </c>
      <c r="F12" s="230">
        <v>48384259</v>
      </c>
      <c r="G12" s="215" t="s">
        <v>344</v>
      </c>
      <c r="H12" s="216" t="s">
        <v>323</v>
      </c>
      <c r="I12" s="217" t="s">
        <v>324</v>
      </c>
      <c r="J12" s="218" t="s">
        <v>325</v>
      </c>
      <c r="K12" s="219">
        <v>1</v>
      </c>
      <c r="L12" s="220">
        <v>12</v>
      </c>
      <c r="M12" s="221">
        <f>+E12*L12</f>
        <v>24000</v>
      </c>
      <c r="N12" s="231">
        <v>1</v>
      </c>
      <c r="O12" s="232" t="s">
        <v>345</v>
      </c>
      <c r="P12" s="221">
        <f>133*66.67</f>
        <v>8867.11</v>
      </c>
      <c r="Q12" s="231"/>
      <c r="R12" s="265"/>
    </row>
    <row r="13" spans="1:18" ht="24" x14ac:dyDescent="0.2">
      <c r="A13" s="210" t="s">
        <v>318</v>
      </c>
      <c r="B13" s="211" t="s">
        <v>319</v>
      </c>
      <c r="C13" s="211" t="s">
        <v>320</v>
      </c>
      <c r="D13" s="229" t="s">
        <v>343</v>
      </c>
      <c r="E13" s="228">
        <v>2000</v>
      </c>
      <c r="F13" s="230"/>
      <c r="G13" s="215"/>
      <c r="H13" s="216"/>
      <c r="I13" s="217"/>
      <c r="J13" s="218" t="s">
        <v>325</v>
      </c>
      <c r="K13" s="219"/>
      <c r="L13" s="220"/>
      <c r="M13" s="221"/>
      <c r="N13" s="231"/>
      <c r="O13" s="232"/>
      <c r="P13" s="221"/>
      <c r="Q13" s="231">
        <v>2</v>
      </c>
      <c r="R13" s="265">
        <f t="shared" ref="R13" si="1">12*E13</f>
        <v>24000</v>
      </c>
    </row>
    <row r="14" spans="1:18" ht="24" x14ac:dyDescent="0.2">
      <c r="A14" s="210" t="s">
        <v>318</v>
      </c>
      <c r="B14" s="211" t="s">
        <v>319</v>
      </c>
      <c r="C14" s="211" t="s">
        <v>320</v>
      </c>
      <c r="D14" s="227" t="s">
        <v>346</v>
      </c>
      <c r="E14" s="228">
        <v>7000</v>
      </c>
      <c r="F14" s="230">
        <v>40594019</v>
      </c>
      <c r="G14" s="215" t="s">
        <v>347</v>
      </c>
      <c r="H14" s="216" t="s">
        <v>348</v>
      </c>
      <c r="I14" s="217" t="s">
        <v>324</v>
      </c>
      <c r="J14" s="218" t="s">
        <v>331</v>
      </c>
      <c r="K14" s="219">
        <v>1</v>
      </c>
      <c r="L14" s="220">
        <v>12</v>
      </c>
      <c r="M14" s="221">
        <f>+E14*L14</f>
        <v>84000</v>
      </c>
      <c r="N14" s="231">
        <v>1</v>
      </c>
      <c r="O14" s="232" t="s">
        <v>327</v>
      </c>
      <c r="P14" s="221">
        <f>+E14*6</f>
        <v>42000</v>
      </c>
      <c r="Q14" s="231">
        <v>2</v>
      </c>
      <c r="R14" s="265">
        <f t="shared" si="0"/>
        <v>84000</v>
      </c>
    </row>
    <row r="15" spans="1:18" ht="24" x14ac:dyDescent="0.2">
      <c r="A15" s="210" t="s">
        <v>318</v>
      </c>
      <c r="B15" s="211" t="s">
        <v>319</v>
      </c>
      <c r="C15" s="211" t="s">
        <v>320</v>
      </c>
      <c r="D15" s="227" t="s">
        <v>349</v>
      </c>
      <c r="E15" s="228">
        <v>2000</v>
      </c>
      <c r="F15" s="236" t="s">
        <v>350</v>
      </c>
      <c r="G15" s="215" t="s">
        <v>351</v>
      </c>
      <c r="H15" s="216" t="s">
        <v>352</v>
      </c>
      <c r="I15" s="217" t="s">
        <v>352</v>
      </c>
      <c r="J15" s="218" t="s">
        <v>353</v>
      </c>
      <c r="K15" s="219">
        <v>1</v>
      </c>
      <c r="L15" s="220" t="s">
        <v>354</v>
      </c>
      <c r="M15" s="221">
        <f>227*66.67</f>
        <v>15134.09</v>
      </c>
      <c r="N15" s="231">
        <v>1</v>
      </c>
      <c r="O15" s="232" t="s">
        <v>327</v>
      </c>
      <c r="P15" s="221">
        <f>+E15*6</f>
        <v>12000</v>
      </c>
      <c r="Q15" s="231">
        <v>2</v>
      </c>
      <c r="R15" s="265">
        <f t="shared" si="0"/>
        <v>24000</v>
      </c>
    </row>
    <row r="16" spans="1:18" ht="36" x14ac:dyDescent="0.2">
      <c r="A16" s="210" t="s">
        <v>318</v>
      </c>
      <c r="B16" s="211" t="s">
        <v>319</v>
      </c>
      <c r="C16" s="211" t="s">
        <v>320</v>
      </c>
      <c r="D16" s="227" t="s">
        <v>355</v>
      </c>
      <c r="E16" s="228">
        <v>6000</v>
      </c>
      <c r="F16" s="230">
        <v>44802106</v>
      </c>
      <c r="G16" s="215" t="s">
        <v>356</v>
      </c>
      <c r="H16" s="216" t="s">
        <v>357</v>
      </c>
      <c r="I16" s="217" t="s">
        <v>330</v>
      </c>
      <c r="J16" s="218" t="s">
        <v>358</v>
      </c>
      <c r="K16" s="219">
        <v>1</v>
      </c>
      <c r="L16" s="220">
        <v>12</v>
      </c>
      <c r="M16" s="221">
        <f>+E16*L16</f>
        <v>72000</v>
      </c>
      <c r="N16" s="231">
        <v>1</v>
      </c>
      <c r="O16" s="232" t="s">
        <v>327</v>
      </c>
      <c r="P16" s="221">
        <f>+E16*6</f>
        <v>36000</v>
      </c>
      <c r="Q16" s="231"/>
      <c r="R16" s="265"/>
    </row>
    <row r="17" spans="1:18" ht="36" x14ac:dyDescent="0.2">
      <c r="A17" s="210" t="s">
        <v>318</v>
      </c>
      <c r="B17" s="211" t="s">
        <v>319</v>
      </c>
      <c r="C17" s="211" t="s">
        <v>320</v>
      </c>
      <c r="D17" s="227" t="s">
        <v>355</v>
      </c>
      <c r="E17" s="228">
        <v>6000</v>
      </c>
      <c r="F17" s="230"/>
      <c r="G17" s="215"/>
      <c r="H17" s="216"/>
      <c r="I17" s="217"/>
      <c r="J17" s="218" t="s">
        <v>358</v>
      </c>
      <c r="K17" s="219"/>
      <c r="L17" s="220"/>
      <c r="M17" s="221"/>
      <c r="N17" s="231"/>
      <c r="O17" s="232"/>
      <c r="P17" s="221"/>
      <c r="Q17" s="231">
        <v>2</v>
      </c>
      <c r="R17" s="265">
        <f t="shared" ref="R17" si="2">12*E17</f>
        <v>72000</v>
      </c>
    </row>
    <row r="18" spans="1:18" ht="24" x14ac:dyDescent="0.2">
      <c r="A18" s="210" t="s">
        <v>318</v>
      </c>
      <c r="B18" s="211" t="s">
        <v>319</v>
      </c>
      <c r="C18" s="211" t="s">
        <v>320</v>
      </c>
      <c r="D18" s="227" t="s">
        <v>359</v>
      </c>
      <c r="E18" s="228">
        <v>5000</v>
      </c>
      <c r="F18" s="230">
        <v>70505051</v>
      </c>
      <c r="G18" s="215" t="s">
        <v>360</v>
      </c>
      <c r="H18" s="216" t="s">
        <v>323</v>
      </c>
      <c r="I18" s="217" t="s">
        <v>330</v>
      </c>
      <c r="J18" s="218" t="s">
        <v>331</v>
      </c>
      <c r="K18" s="219">
        <v>1</v>
      </c>
      <c r="L18" s="220">
        <v>12</v>
      </c>
      <c r="M18" s="221">
        <f>+E18*L18</f>
        <v>60000</v>
      </c>
      <c r="N18" s="231">
        <v>1</v>
      </c>
      <c r="O18" s="232" t="s">
        <v>361</v>
      </c>
      <c r="P18" s="221">
        <f>+E18*1</f>
        <v>5000</v>
      </c>
      <c r="Q18" s="231"/>
      <c r="R18" s="265"/>
    </row>
    <row r="19" spans="1:18" ht="24" x14ac:dyDescent="0.2">
      <c r="A19" s="210" t="s">
        <v>318</v>
      </c>
      <c r="B19" s="211" t="s">
        <v>319</v>
      </c>
      <c r="C19" s="211" t="s">
        <v>320</v>
      </c>
      <c r="D19" s="227" t="s">
        <v>359</v>
      </c>
      <c r="E19" s="228">
        <v>5000</v>
      </c>
      <c r="F19" s="230"/>
      <c r="G19" s="215"/>
      <c r="H19" s="216"/>
      <c r="I19" s="217"/>
      <c r="J19" s="218" t="s">
        <v>331</v>
      </c>
      <c r="K19" s="219"/>
      <c r="L19" s="220"/>
      <c r="M19" s="221"/>
      <c r="N19" s="231"/>
      <c r="O19" s="232"/>
      <c r="P19" s="221"/>
      <c r="Q19" s="231">
        <v>2</v>
      </c>
      <c r="R19" s="265">
        <f t="shared" ref="R19:R25" si="3">12*E19</f>
        <v>60000</v>
      </c>
    </row>
    <row r="20" spans="1:18" ht="24" x14ac:dyDescent="0.2">
      <c r="A20" s="210" t="s">
        <v>318</v>
      </c>
      <c r="B20" s="211" t="s">
        <v>319</v>
      </c>
      <c r="C20" s="211" t="s">
        <v>320</v>
      </c>
      <c r="D20" s="227" t="s">
        <v>362</v>
      </c>
      <c r="E20" s="228">
        <v>5000</v>
      </c>
      <c r="F20" s="230">
        <v>45760591</v>
      </c>
      <c r="G20" s="215" t="s">
        <v>363</v>
      </c>
      <c r="H20" s="216" t="s">
        <v>323</v>
      </c>
      <c r="I20" s="217" t="s">
        <v>330</v>
      </c>
      <c r="J20" s="218" t="s">
        <v>331</v>
      </c>
      <c r="K20" s="219">
        <v>1</v>
      </c>
      <c r="L20" s="220">
        <v>12</v>
      </c>
      <c r="M20" s="221">
        <f>+E20*L20</f>
        <v>60000</v>
      </c>
      <c r="N20" s="231">
        <v>1</v>
      </c>
      <c r="O20" s="232" t="s">
        <v>327</v>
      </c>
      <c r="P20" s="221">
        <f t="shared" ref="P20:P25" si="4">+E20*6</f>
        <v>30000</v>
      </c>
      <c r="Q20" s="231">
        <v>2</v>
      </c>
      <c r="R20" s="265">
        <f t="shared" si="3"/>
        <v>60000</v>
      </c>
    </row>
    <row r="21" spans="1:18" ht="24" x14ac:dyDescent="0.2">
      <c r="A21" s="210" t="s">
        <v>318</v>
      </c>
      <c r="B21" s="211" t="s">
        <v>319</v>
      </c>
      <c r="C21" s="211" t="s">
        <v>320</v>
      </c>
      <c r="D21" s="227" t="s">
        <v>364</v>
      </c>
      <c r="E21" s="228">
        <v>4000</v>
      </c>
      <c r="F21" s="230">
        <v>70507099</v>
      </c>
      <c r="G21" s="215" t="s">
        <v>365</v>
      </c>
      <c r="H21" s="216" t="s">
        <v>323</v>
      </c>
      <c r="I21" s="217" t="s">
        <v>330</v>
      </c>
      <c r="J21" s="218" t="s">
        <v>331</v>
      </c>
      <c r="K21" s="219">
        <v>1</v>
      </c>
      <c r="L21" s="220">
        <v>12</v>
      </c>
      <c r="M21" s="221">
        <f>+E21*L21</f>
        <v>48000</v>
      </c>
      <c r="N21" s="231">
        <v>1</v>
      </c>
      <c r="O21" s="232" t="s">
        <v>327</v>
      </c>
      <c r="P21" s="221">
        <f t="shared" si="4"/>
        <v>24000</v>
      </c>
      <c r="Q21" s="231">
        <v>2</v>
      </c>
      <c r="R21" s="265">
        <f t="shared" si="3"/>
        <v>48000</v>
      </c>
    </row>
    <row r="22" spans="1:18" ht="36" x14ac:dyDescent="0.2">
      <c r="A22" s="210" t="s">
        <v>318</v>
      </c>
      <c r="B22" s="211" t="s">
        <v>319</v>
      </c>
      <c r="C22" s="211" t="s">
        <v>320</v>
      </c>
      <c r="D22" s="227" t="s">
        <v>366</v>
      </c>
      <c r="E22" s="228">
        <v>8000</v>
      </c>
      <c r="F22" s="266" t="s">
        <v>367</v>
      </c>
      <c r="G22" s="215" t="s">
        <v>368</v>
      </c>
      <c r="H22" s="216" t="s">
        <v>369</v>
      </c>
      <c r="I22" s="217" t="s">
        <v>330</v>
      </c>
      <c r="J22" s="218" t="s">
        <v>331</v>
      </c>
      <c r="K22" s="219">
        <v>1</v>
      </c>
      <c r="L22" s="220">
        <v>12</v>
      </c>
      <c r="M22" s="221">
        <f>+L22*E22</f>
        <v>96000</v>
      </c>
      <c r="N22" s="231">
        <v>1</v>
      </c>
      <c r="O22" s="232" t="s">
        <v>327</v>
      </c>
      <c r="P22" s="221">
        <f t="shared" si="4"/>
        <v>48000</v>
      </c>
      <c r="Q22" s="231">
        <v>2</v>
      </c>
      <c r="R22" s="265">
        <f t="shared" si="3"/>
        <v>96000</v>
      </c>
    </row>
    <row r="23" spans="1:18" ht="60" x14ac:dyDescent="0.2">
      <c r="A23" s="210" t="s">
        <v>318</v>
      </c>
      <c r="B23" s="211" t="s">
        <v>319</v>
      </c>
      <c r="C23" s="211" t="s">
        <v>320</v>
      </c>
      <c r="D23" s="227" t="s">
        <v>370</v>
      </c>
      <c r="E23" s="228">
        <v>4000</v>
      </c>
      <c r="F23" s="230">
        <v>76381090</v>
      </c>
      <c r="G23" s="215" t="s">
        <v>371</v>
      </c>
      <c r="H23" s="216" t="s">
        <v>323</v>
      </c>
      <c r="I23" s="217" t="s">
        <v>330</v>
      </c>
      <c r="J23" s="218" t="s">
        <v>325</v>
      </c>
      <c r="K23" s="219">
        <v>1</v>
      </c>
      <c r="L23" s="220">
        <v>12</v>
      </c>
      <c r="M23" s="221">
        <f>+E23*L23</f>
        <v>48000</v>
      </c>
      <c r="N23" s="231">
        <v>1</v>
      </c>
      <c r="O23" s="232" t="s">
        <v>327</v>
      </c>
      <c r="P23" s="221">
        <f t="shared" si="4"/>
        <v>24000</v>
      </c>
      <c r="Q23" s="231">
        <v>2</v>
      </c>
      <c r="R23" s="265">
        <f t="shared" si="3"/>
        <v>48000</v>
      </c>
    </row>
    <row r="24" spans="1:18" ht="36" x14ac:dyDescent="0.2">
      <c r="A24" s="210" t="s">
        <v>318</v>
      </c>
      <c r="B24" s="211" t="s">
        <v>319</v>
      </c>
      <c r="C24" s="211" t="s">
        <v>320</v>
      </c>
      <c r="D24" s="211" t="s">
        <v>372</v>
      </c>
      <c r="E24" s="213">
        <v>4000</v>
      </c>
      <c r="F24" s="230">
        <v>44884464</v>
      </c>
      <c r="G24" s="215" t="s">
        <v>373</v>
      </c>
      <c r="H24" s="216" t="s">
        <v>323</v>
      </c>
      <c r="I24" s="217" t="s">
        <v>330</v>
      </c>
      <c r="J24" s="218" t="s">
        <v>331</v>
      </c>
      <c r="K24" s="219">
        <v>1</v>
      </c>
      <c r="L24" s="220" t="s">
        <v>374</v>
      </c>
      <c r="M24" s="221">
        <f>133.33*231</f>
        <v>30799.230000000003</v>
      </c>
      <c r="N24" s="231">
        <v>1</v>
      </c>
      <c r="O24" s="232" t="s">
        <v>327</v>
      </c>
      <c r="P24" s="221">
        <f t="shared" si="4"/>
        <v>24000</v>
      </c>
      <c r="Q24" s="231">
        <v>2</v>
      </c>
      <c r="R24" s="265">
        <f t="shared" si="3"/>
        <v>48000</v>
      </c>
    </row>
    <row r="25" spans="1:18" ht="24" x14ac:dyDescent="0.2">
      <c r="A25" s="210" t="s">
        <v>318</v>
      </c>
      <c r="B25" s="211" t="s">
        <v>319</v>
      </c>
      <c r="C25" s="211" t="s">
        <v>320</v>
      </c>
      <c r="D25" s="229" t="s">
        <v>375</v>
      </c>
      <c r="E25" s="228">
        <v>3000</v>
      </c>
      <c r="F25" s="230" t="s">
        <v>376</v>
      </c>
      <c r="G25" s="215" t="s">
        <v>377</v>
      </c>
      <c r="H25" s="216" t="s">
        <v>323</v>
      </c>
      <c r="I25" s="217" t="s">
        <v>324</v>
      </c>
      <c r="J25" s="218" t="s">
        <v>325</v>
      </c>
      <c r="K25" s="219">
        <v>1</v>
      </c>
      <c r="L25" s="220">
        <v>12</v>
      </c>
      <c r="M25" s="221">
        <f>L25*E25</f>
        <v>36000</v>
      </c>
      <c r="N25" s="231">
        <v>1</v>
      </c>
      <c r="O25" s="232" t="s">
        <v>327</v>
      </c>
      <c r="P25" s="221">
        <f t="shared" si="4"/>
        <v>18000</v>
      </c>
      <c r="Q25" s="231">
        <v>2</v>
      </c>
      <c r="R25" s="265">
        <f t="shared" si="3"/>
        <v>36000</v>
      </c>
    </row>
    <row r="26" spans="1:18" ht="36" x14ac:dyDescent="0.2">
      <c r="A26" s="210" t="s">
        <v>318</v>
      </c>
      <c r="B26" s="211" t="s">
        <v>319</v>
      </c>
      <c r="C26" s="211" t="s">
        <v>320</v>
      </c>
      <c r="D26" s="227" t="s">
        <v>378</v>
      </c>
      <c r="E26" s="228">
        <v>7000</v>
      </c>
      <c r="F26" s="214">
        <v>70766157</v>
      </c>
      <c r="G26" s="215" t="s">
        <v>379</v>
      </c>
      <c r="H26" s="216" t="s">
        <v>323</v>
      </c>
      <c r="I26" s="217" t="s">
        <v>330</v>
      </c>
      <c r="J26" s="218" t="s">
        <v>331</v>
      </c>
      <c r="K26" s="219">
        <v>1</v>
      </c>
      <c r="L26" s="220">
        <v>12</v>
      </c>
      <c r="M26" s="221">
        <f>+E26*L26</f>
        <v>84000</v>
      </c>
      <c r="N26" s="231"/>
      <c r="O26" s="232"/>
      <c r="P26" s="221"/>
      <c r="Q26" s="231"/>
      <c r="R26" s="265"/>
    </row>
    <row r="27" spans="1:18" ht="36" x14ac:dyDescent="0.2">
      <c r="A27" s="210" t="s">
        <v>318</v>
      </c>
      <c r="B27" s="211" t="s">
        <v>319</v>
      </c>
      <c r="C27" s="211" t="s">
        <v>320</v>
      </c>
      <c r="D27" s="227" t="s">
        <v>378</v>
      </c>
      <c r="E27" s="228">
        <v>7000</v>
      </c>
      <c r="F27" s="214"/>
      <c r="G27" s="215"/>
      <c r="H27" s="216"/>
      <c r="I27" s="217"/>
      <c r="J27" s="218" t="s">
        <v>331</v>
      </c>
      <c r="K27" s="219"/>
      <c r="L27" s="220"/>
      <c r="M27" s="221"/>
      <c r="N27" s="231"/>
      <c r="O27" s="232"/>
      <c r="P27" s="221"/>
      <c r="Q27" s="231">
        <v>2</v>
      </c>
      <c r="R27" s="265">
        <f t="shared" ref="R27" si="5">12*E27</f>
        <v>84000</v>
      </c>
    </row>
    <row r="28" spans="1:18" ht="24" x14ac:dyDescent="0.2">
      <c r="A28" s="210" t="s">
        <v>318</v>
      </c>
      <c r="B28" s="211" t="s">
        <v>319</v>
      </c>
      <c r="C28" s="211" t="s">
        <v>320</v>
      </c>
      <c r="D28" s="227" t="s">
        <v>349</v>
      </c>
      <c r="E28" s="228">
        <v>2000</v>
      </c>
      <c r="F28" s="214">
        <v>41647732</v>
      </c>
      <c r="G28" s="215" t="s">
        <v>380</v>
      </c>
      <c r="H28" s="216" t="s">
        <v>352</v>
      </c>
      <c r="I28" s="217" t="s">
        <v>352</v>
      </c>
      <c r="J28" s="218" t="s">
        <v>353</v>
      </c>
      <c r="K28" s="219">
        <v>1</v>
      </c>
      <c r="L28" s="220" t="s">
        <v>381</v>
      </c>
      <c r="M28" s="221">
        <f>227*66.67</f>
        <v>15134.09</v>
      </c>
      <c r="N28" s="231"/>
      <c r="O28" s="232"/>
      <c r="P28" s="221"/>
      <c r="Q28" s="231"/>
      <c r="R28" s="265"/>
    </row>
    <row r="29" spans="1:18" ht="24" x14ac:dyDescent="0.2">
      <c r="A29" s="210" t="s">
        <v>318</v>
      </c>
      <c r="B29" s="211" t="s">
        <v>319</v>
      </c>
      <c r="C29" s="211" t="s">
        <v>320</v>
      </c>
      <c r="D29" s="229" t="s">
        <v>382</v>
      </c>
      <c r="E29" s="228">
        <v>3500</v>
      </c>
      <c r="F29" s="230" t="s">
        <v>383</v>
      </c>
      <c r="G29" s="215" t="s">
        <v>384</v>
      </c>
      <c r="H29" s="216" t="s">
        <v>385</v>
      </c>
      <c r="I29" s="217" t="s">
        <v>386</v>
      </c>
      <c r="J29" s="218" t="s">
        <v>353</v>
      </c>
      <c r="K29" s="219">
        <v>1</v>
      </c>
      <c r="L29" s="220">
        <v>12</v>
      </c>
      <c r="M29" s="221">
        <f>+E29*L29</f>
        <v>42000</v>
      </c>
      <c r="N29" s="231">
        <v>1</v>
      </c>
      <c r="O29" s="232" t="s">
        <v>327</v>
      </c>
      <c r="P29" s="221">
        <f>+E29*6</f>
        <v>21000</v>
      </c>
      <c r="Q29" s="231">
        <v>2</v>
      </c>
      <c r="R29" s="265">
        <f>12*E29</f>
        <v>42000</v>
      </c>
    </row>
    <row r="30" spans="1:18" ht="24" x14ac:dyDescent="0.2">
      <c r="A30" s="210" t="s">
        <v>318</v>
      </c>
      <c r="B30" s="211" t="s">
        <v>319</v>
      </c>
      <c r="C30" s="211" t="s">
        <v>320</v>
      </c>
      <c r="D30" s="227" t="s">
        <v>387</v>
      </c>
      <c r="E30" s="213">
        <v>3000</v>
      </c>
      <c r="F30" s="230">
        <v>72206979</v>
      </c>
      <c r="G30" s="215" t="s">
        <v>388</v>
      </c>
      <c r="H30" s="216" t="s">
        <v>323</v>
      </c>
      <c r="I30" s="217" t="s">
        <v>330</v>
      </c>
      <c r="J30" s="218" t="s">
        <v>325</v>
      </c>
      <c r="K30" s="219">
        <v>1</v>
      </c>
      <c r="L30" s="220" t="s">
        <v>389</v>
      </c>
      <c r="M30" s="221">
        <f>221*100</f>
        <v>22100</v>
      </c>
      <c r="N30" s="231">
        <v>1</v>
      </c>
      <c r="O30" s="232" t="s">
        <v>327</v>
      </c>
      <c r="P30" s="221">
        <f>+E30*6</f>
        <v>18000</v>
      </c>
      <c r="Q30" s="231">
        <v>2</v>
      </c>
      <c r="R30" s="265">
        <f>12*E30</f>
        <v>36000</v>
      </c>
    </row>
    <row r="31" spans="1:18" ht="24" x14ac:dyDescent="0.2">
      <c r="A31" s="210" t="s">
        <v>318</v>
      </c>
      <c r="B31" s="211" t="s">
        <v>319</v>
      </c>
      <c r="C31" s="211" t="s">
        <v>320</v>
      </c>
      <c r="D31" s="229" t="s">
        <v>390</v>
      </c>
      <c r="E31" s="228">
        <v>3000</v>
      </c>
      <c r="F31" s="230" t="s">
        <v>391</v>
      </c>
      <c r="G31" s="233" t="s">
        <v>392</v>
      </c>
      <c r="H31" s="216" t="s">
        <v>352</v>
      </c>
      <c r="I31" s="217" t="s">
        <v>352</v>
      </c>
      <c r="J31" s="218" t="s">
        <v>325</v>
      </c>
      <c r="K31" s="219">
        <v>1</v>
      </c>
      <c r="L31" s="220">
        <v>12</v>
      </c>
      <c r="M31" s="221">
        <f>+E31*L31</f>
        <v>36000</v>
      </c>
      <c r="N31" s="231">
        <v>1</v>
      </c>
      <c r="O31" s="232" t="s">
        <v>327</v>
      </c>
      <c r="P31" s="221">
        <f>+E31*6</f>
        <v>18000</v>
      </c>
      <c r="Q31" s="231">
        <v>2</v>
      </c>
      <c r="R31" s="265">
        <f>12*E31</f>
        <v>36000</v>
      </c>
    </row>
    <row r="32" spans="1:18" ht="24" x14ac:dyDescent="0.2">
      <c r="A32" s="210" t="s">
        <v>318</v>
      </c>
      <c r="B32" s="211" t="s">
        <v>319</v>
      </c>
      <c r="C32" s="211" t="s">
        <v>320</v>
      </c>
      <c r="D32" s="211" t="s">
        <v>323</v>
      </c>
      <c r="E32" s="213">
        <v>4000</v>
      </c>
      <c r="F32" s="230">
        <v>47684451</v>
      </c>
      <c r="G32" s="233" t="s">
        <v>393</v>
      </c>
      <c r="H32" s="216" t="s">
        <v>323</v>
      </c>
      <c r="I32" s="217" t="s">
        <v>330</v>
      </c>
      <c r="J32" s="218" t="s">
        <v>331</v>
      </c>
      <c r="K32" s="219">
        <v>1</v>
      </c>
      <c r="L32" s="220" t="s">
        <v>394</v>
      </c>
      <c r="M32" s="221">
        <f>235*133.33</f>
        <v>31332.550000000003</v>
      </c>
      <c r="N32" s="231"/>
      <c r="O32" s="232"/>
      <c r="P32" s="221"/>
      <c r="Q32" s="231"/>
      <c r="R32" s="265"/>
    </row>
    <row r="33" spans="1:18" ht="24" x14ac:dyDescent="0.2">
      <c r="A33" s="210" t="s">
        <v>318</v>
      </c>
      <c r="B33" s="211" t="s">
        <v>319</v>
      </c>
      <c r="C33" s="211" t="s">
        <v>320</v>
      </c>
      <c r="D33" s="227" t="s">
        <v>349</v>
      </c>
      <c r="E33" s="213">
        <v>2000</v>
      </c>
      <c r="F33" s="230">
        <v>44396297</v>
      </c>
      <c r="G33" s="233" t="s">
        <v>395</v>
      </c>
      <c r="H33" s="216" t="s">
        <v>352</v>
      </c>
      <c r="I33" s="217" t="s">
        <v>352</v>
      </c>
      <c r="J33" s="218" t="s">
        <v>353</v>
      </c>
      <c r="K33" s="219">
        <v>1</v>
      </c>
      <c r="L33" s="220" t="s">
        <v>396</v>
      </c>
      <c r="M33" s="221">
        <f>227*66.67</f>
        <v>15134.09</v>
      </c>
      <c r="N33" s="231">
        <v>1</v>
      </c>
      <c r="O33" s="232" t="s">
        <v>327</v>
      </c>
      <c r="P33" s="221">
        <f>+E33*6</f>
        <v>12000</v>
      </c>
      <c r="Q33" s="231">
        <v>2</v>
      </c>
      <c r="R33" s="265">
        <f t="shared" ref="R33:R35" si="6">12*E33</f>
        <v>24000</v>
      </c>
    </row>
    <row r="34" spans="1:18" ht="36" x14ac:dyDescent="0.2">
      <c r="A34" s="210" t="s">
        <v>318</v>
      </c>
      <c r="B34" s="211" t="s">
        <v>319</v>
      </c>
      <c r="C34" s="211" t="s">
        <v>320</v>
      </c>
      <c r="D34" s="229" t="s">
        <v>397</v>
      </c>
      <c r="E34" s="228">
        <v>2800</v>
      </c>
      <c r="F34" s="230" t="s">
        <v>398</v>
      </c>
      <c r="G34" s="215" t="s">
        <v>399</v>
      </c>
      <c r="H34" s="216" t="s">
        <v>400</v>
      </c>
      <c r="I34" s="217" t="s">
        <v>401</v>
      </c>
      <c r="J34" s="218" t="s">
        <v>325</v>
      </c>
      <c r="K34" s="219">
        <v>1</v>
      </c>
      <c r="L34" s="220">
        <v>12</v>
      </c>
      <c r="M34" s="221">
        <f>+E34*L34</f>
        <v>33600</v>
      </c>
      <c r="N34" s="231">
        <v>1</v>
      </c>
      <c r="O34" s="232" t="s">
        <v>327</v>
      </c>
      <c r="P34" s="221">
        <f>+E34*6</f>
        <v>16800</v>
      </c>
      <c r="Q34" s="231">
        <v>2</v>
      </c>
      <c r="R34" s="265">
        <f t="shared" si="6"/>
        <v>33600</v>
      </c>
    </row>
    <row r="35" spans="1:18" ht="48" x14ac:dyDescent="0.2">
      <c r="A35" s="210" t="s">
        <v>318</v>
      </c>
      <c r="B35" s="211" t="s">
        <v>319</v>
      </c>
      <c r="C35" s="211" t="s">
        <v>320</v>
      </c>
      <c r="D35" s="227" t="s">
        <v>402</v>
      </c>
      <c r="E35" s="228">
        <v>4000</v>
      </c>
      <c r="F35" s="230">
        <v>44872321</v>
      </c>
      <c r="G35" s="215" t="s">
        <v>403</v>
      </c>
      <c r="H35" s="216" t="s">
        <v>404</v>
      </c>
      <c r="I35" s="217" t="s">
        <v>330</v>
      </c>
      <c r="J35" s="218" t="s">
        <v>331</v>
      </c>
      <c r="K35" s="219">
        <v>1</v>
      </c>
      <c r="L35" s="220" t="s">
        <v>405</v>
      </c>
      <c r="M35" s="221">
        <f>221*133.33</f>
        <v>29465.930000000004</v>
      </c>
      <c r="N35" s="231">
        <v>1</v>
      </c>
      <c r="O35" s="232" t="s">
        <v>327</v>
      </c>
      <c r="P35" s="221">
        <f>+E35*6</f>
        <v>24000</v>
      </c>
      <c r="Q35" s="231">
        <v>2</v>
      </c>
      <c r="R35" s="265">
        <f t="shared" si="6"/>
        <v>48000</v>
      </c>
    </row>
    <row r="36" spans="1:18" ht="24" x14ac:dyDescent="0.2">
      <c r="A36" s="210" t="s">
        <v>318</v>
      </c>
      <c r="B36" s="211" t="s">
        <v>319</v>
      </c>
      <c r="C36" s="211" t="s">
        <v>320</v>
      </c>
      <c r="D36" s="229" t="s">
        <v>406</v>
      </c>
      <c r="E36" s="228">
        <v>3500</v>
      </c>
      <c r="F36" s="230" t="s">
        <v>383</v>
      </c>
      <c r="G36" s="215" t="s">
        <v>407</v>
      </c>
      <c r="H36" s="216" t="s">
        <v>357</v>
      </c>
      <c r="I36" s="217" t="s">
        <v>330</v>
      </c>
      <c r="J36" s="218" t="s">
        <v>331</v>
      </c>
      <c r="K36" s="219">
        <v>1</v>
      </c>
      <c r="L36" s="220" t="s">
        <v>408</v>
      </c>
      <c r="M36" s="221">
        <f>61*116.67</f>
        <v>7116.87</v>
      </c>
      <c r="N36" s="231"/>
      <c r="O36" s="232"/>
      <c r="P36" s="221"/>
      <c r="Q36" s="231"/>
      <c r="R36" s="265"/>
    </row>
    <row r="37" spans="1:18" ht="36" x14ac:dyDescent="0.2">
      <c r="A37" s="210" t="s">
        <v>318</v>
      </c>
      <c r="B37" s="211" t="s">
        <v>319</v>
      </c>
      <c r="C37" s="211" t="s">
        <v>320</v>
      </c>
      <c r="D37" s="227" t="s">
        <v>409</v>
      </c>
      <c r="E37" s="228">
        <v>7000</v>
      </c>
      <c r="F37" s="230" t="s">
        <v>383</v>
      </c>
      <c r="G37" s="215" t="s">
        <v>407</v>
      </c>
      <c r="H37" s="216" t="s">
        <v>357</v>
      </c>
      <c r="I37" s="217" t="s">
        <v>330</v>
      </c>
      <c r="J37" s="218" t="s">
        <v>331</v>
      </c>
      <c r="K37" s="219">
        <v>1</v>
      </c>
      <c r="L37" s="220" t="s">
        <v>410</v>
      </c>
      <c r="M37" s="221">
        <f>+(298*233.33)</f>
        <v>69532.34</v>
      </c>
      <c r="N37" s="231">
        <v>1</v>
      </c>
      <c r="O37" s="232" t="s">
        <v>327</v>
      </c>
      <c r="P37" s="221">
        <f>+E37*6</f>
        <v>42000</v>
      </c>
      <c r="Q37" s="231">
        <v>2</v>
      </c>
      <c r="R37" s="265">
        <f t="shared" ref="R37:R48" si="7">12*E37</f>
        <v>84000</v>
      </c>
    </row>
    <row r="38" spans="1:18" ht="36" x14ac:dyDescent="0.2">
      <c r="A38" s="210" t="s">
        <v>318</v>
      </c>
      <c r="B38" s="211" t="s">
        <v>319</v>
      </c>
      <c r="C38" s="211" t="s">
        <v>320</v>
      </c>
      <c r="D38" s="227" t="s">
        <v>411</v>
      </c>
      <c r="E38" s="228">
        <v>6000</v>
      </c>
      <c r="F38" s="230">
        <v>42458130</v>
      </c>
      <c r="G38" s="215" t="s">
        <v>412</v>
      </c>
      <c r="H38" s="216" t="s">
        <v>357</v>
      </c>
      <c r="I38" s="217" t="s">
        <v>324</v>
      </c>
      <c r="J38" s="218" t="s">
        <v>331</v>
      </c>
      <c r="K38" s="219">
        <v>1</v>
      </c>
      <c r="L38" s="220" t="s">
        <v>396</v>
      </c>
      <c r="M38" s="221">
        <f>227*200</f>
        <v>45400</v>
      </c>
      <c r="N38" s="231">
        <v>1</v>
      </c>
      <c r="O38" s="232" t="s">
        <v>327</v>
      </c>
      <c r="P38" s="221">
        <f>+E38*6</f>
        <v>36000</v>
      </c>
      <c r="Q38" s="231"/>
      <c r="R38" s="265"/>
    </row>
    <row r="39" spans="1:18" ht="36" x14ac:dyDescent="0.2">
      <c r="A39" s="210" t="s">
        <v>318</v>
      </c>
      <c r="B39" s="211" t="s">
        <v>319</v>
      </c>
      <c r="C39" s="211" t="s">
        <v>320</v>
      </c>
      <c r="D39" s="227" t="s">
        <v>411</v>
      </c>
      <c r="E39" s="228">
        <v>6000</v>
      </c>
      <c r="F39" s="230"/>
      <c r="G39" s="215"/>
      <c r="H39" s="216"/>
      <c r="I39" s="217"/>
      <c r="J39" s="218" t="s">
        <v>331</v>
      </c>
      <c r="K39" s="219"/>
      <c r="L39" s="220"/>
      <c r="M39" s="221"/>
      <c r="N39" s="231"/>
      <c r="O39" s="232"/>
      <c r="P39" s="221"/>
      <c r="Q39" s="231">
        <v>2</v>
      </c>
      <c r="R39" s="265">
        <f t="shared" ref="R39" si="8">12*E39</f>
        <v>72000</v>
      </c>
    </row>
    <row r="40" spans="1:18" ht="36" x14ac:dyDescent="0.2">
      <c r="A40" s="210" t="s">
        <v>318</v>
      </c>
      <c r="B40" s="211" t="s">
        <v>319</v>
      </c>
      <c r="C40" s="211" t="s">
        <v>320</v>
      </c>
      <c r="D40" s="227" t="s">
        <v>413</v>
      </c>
      <c r="E40" s="228">
        <v>8000</v>
      </c>
      <c r="F40" s="216">
        <v>25779416</v>
      </c>
      <c r="G40" s="215" t="s">
        <v>414</v>
      </c>
      <c r="H40" s="216" t="s">
        <v>404</v>
      </c>
      <c r="I40" s="217" t="s">
        <v>330</v>
      </c>
      <c r="J40" s="218" t="s">
        <v>331</v>
      </c>
      <c r="K40" s="219">
        <v>2</v>
      </c>
      <c r="L40" s="220">
        <v>12</v>
      </c>
      <c r="M40" s="221">
        <f>+E40*L40</f>
        <v>96000</v>
      </c>
      <c r="N40" s="231">
        <v>1</v>
      </c>
      <c r="O40" s="232" t="s">
        <v>327</v>
      </c>
      <c r="P40" s="221">
        <f>+E40*6</f>
        <v>48000</v>
      </c>
      <c r="Q40" s="231">
        <v>2</v>
      </c>
      <c r="R40" s="265">
        <f t="shared" si="7"/>
        <v>96000</v>
      </c>
    </row>
    <row r="41" spans="1:18" ht="60" x14ac:dyDescent="0.2">
      <c r="A41" s="210" t="s">
        <v>318</v>
      </c>
      <c r="B41" s="211" t="s">
        <v>319</v>
      </c>
      <c r="C41" s="211" t="s">
        <v>320</v>
      </c>
      <c r="D41" s="227" t="s">
        <v>370</v>
      </c>
      <c r="E41" s="213">
        <v>3000</v>
      </c>
      <c r="F41" s="216">
        <v>75228071</v>
      </c>
      <c r="G41" s="215" t="s">
        <v>415</v>
      </c>
      <c r="H41" s="216" t="s">
        <v>323</v>
      </c>
      <c r="I41" s="217" t="s">
        <v>330</v>
      </c>
      <c r="J41" s="218" t="s">
        <v>325</v>
      </c>
      <c r="K41" s="219">
        <v>1</v>
      </c>
      <c r="L41" s="220" t="s">
        <v>416</v>
      </c>
      <c r="M41" s="221">
        <f>56*100</f>
        <v>5600</v>
      </c>
      <c r="N41" s="231">
        <v>1</v>
      </c>
      <c r="O41" s="232" t="s">
        <v>327</v>
      </c>
      <c r="P41" s="221">
        <f>+E41*6</f>
        <v>18000</v>
      </c>
      <c r="Q41" s="231">
        <v>2</v>
      </c>
      <c r="R41" s="265">
        <f t="shared" si="7"/>
        <v>36000</v>
      </c>
    </row>
    <row r="42" spans="1:18" ht="24" x14ac:dyDescent="0.2">
      <c r="A42" s="210" t="s">
        <v>318</v>
      </c>
      <c r="B42" s="211" t="s">
        <v>319</v>
      </c>
      <c r="C42" s="211" t="s">
        <v>320</v>
      </c>
      <c r="D42" s="227" t="s">
        <v>417</v>
      </c>
      <c r="E42" s="213">
        <v>2500</v>
      </c>
      <c r="F42" s="216">
        <v>40296892</v>
      </c>
      <c r="G42" s="215" t="s">
        <v>418</v>
      </c>
      <c r="H42" s="216" t="s">
        <v>352</v>
      </c>
      <c r="I42" s="217" t="s">
        <v>352</v>
      </c>
      <c r="J42" s="218" t="s">
        <v>419</v>
      </c>
      <c r="K42" s="219">
        <v>1</v>
      </c>
      <c r="L42" s="220">
        <v>12</v>
      </c>
      <c r="M42" s="221">
        <f>+E42*L42</f>
        <v>30000</v>
      </c>
      <c r="N42" s="231">
        <v>1</v>
      </c>
      <c r="O42" s="232" t="s">
        <v>327</v>
      </c>
      <c r="P42" s="221">
        <f>+E42*6</f>
        <v>15000</v>
      </c>
      <c r="Q42" s="231">
        <v>2</v>
      </c>
      <c r="R42" s="265">
        <f t="shared" si="7"/>
        <v>30000</v>
      </c>
    </row>
    <row r="43" spans="1:18" ht="24" x14ac:dyDescent="0.2">
      <c r="A43" s="210" t="s">
        <v>318</v>
      </c>
      <c r="B43" s="211" t="s">
        <v>319</v>
      </c>
      <c r="C43" s="211" t="s">
        <v>320</v>
      </c>
      <c r="D43" s="212" t="s">
        <v>420</v>
      </c>
      <c r="E43" s="213">
        <v>3000</v>
      </c>
      <c r="F43" s="234" t="s">
        <v>421</v>
      </c>
      <c r="G43" s="215" t="s">
        <v>422</v>
      </c>
      <c r="H43" s="216" t="s">
        <v>423</v>
      </c>
      <c r="I43" s="217" t="s">
        <v>330</v>
      </c>
      <c r="J43" s="218" t="s">
        <v>325</v>
      </c>
      <c r="K43" s="219">
        <v>1</v>
      </c>
      <c r="L43" s="220" t="s">
        <v>424</v>
      </c>
      <c r="M43" s="221">
        <f>62*100</f>
        <v>6200</v>
      </c>
      <c r="N43" s="231">
        <v>1</v>
      </c>
      <c r="O43" s="232" t="s">
        <v>327</v>
      </c>
      <c r="P43" s="221">
        <f>+E43*6</f>
        <v>18000</v>
      </c>
      <c r="Q43" s="231">
        <v>2</v>
      </c>
      <c r="R43" s="265">
        <f t="shared" si="7"/>
        <v>36000</v>
      </c>
    </row>
    <row r="44" spans="1:18" ht="24" x14ac:dyDescent="0.2">
      <c r="A44" s="210" t="s">
        <v>318</v>
      </c>
      <c r="B44" s="211" t="s">
        <v>319</v>
      </c>
      <c r="C44" s="211" t="s">
        <v>320</v>
      </c>
      <c r="D44" s="212" t="s">
        <v>425</v>
      </c>
      <c r="E44" s="213">
        <v>4000</v>
      </c>
      <c r="F44" s="216">
        <v>46657740</v>
      </c>
      <c r="G44" s="215" t="s">
        <v>426</v>
      </c>
      <c r="H44" s="216" t="s">
        <v>323</v>
      </c>
      <c r="I44" s="217" t="s">
        <v>330</v>
      </c>
      <c r="J44" s="218" t="s">
        <v>331</v>
      </c>
      <c r="K44" s="219">
        <v>1</v>
      </c>
      <c r="L44" s="220" t="s">
        <v>427</v>
      </c>
      <c r="M44" s="221">
        <f>41*133.33</f>
        <v>5466.5300000000007</v>
      </c>
      <c r="N44" s="231">
        <v>1</v>
      </c>
      <c r="O44" s="232" t="s">
        <v>327</v>
      </c>
      <c r="P44" s="221">
        <f>221*133.33</f>
        <v>29465.930000000004</v>
      </c>
      <c r="Q44" s="231">
        <v>2</v>
      </c>
      <c r="R44" s="265">
        <f t="shared" si="7"/>
        <v>48000</v>
      </c>
    </row>
    <row r="45" spans="1:18" ht="24" x14ac:dyDescent="0.2">
      <c r="A45" s="210" t="s">
        <v>318</v>
      </c>
      <c r="B45" s="211" t="s">
        <v>319</v>
      </c>
      <c r="C45" s="211" t="s">
        <v>320</v>
      </c>
      <c r="D45" s="229" t="s">
        <v>382</v>
      </c>
      <c r="E45" s="228">
        <v>3000</v>
      </c>
      <c r="F45" s="230">
        <v>42398918</v>
      </c>
      <c r="G45" s="215" t="s">
        <v>428</v>
      </c>
      <c r="H45" s="216" t="s">
        <v>352</v>
      </c>
      <c r="I45" s="217" t="s">
        <v>352</v>
      </c>
      <c r="J45" s="218" t="s">
        <v>353</v>
      </c>
      <c r="K45" s="219">
        <v>1</v>
      </c>
      <c r="L45" s="220">
        <v>12</v>
      </c>
      <c r="M45" s="221">
        <f t="shared" ref="M45:M52" si="9">+E45*L45</f>
        <v>36000</v>
      </c>
      <c r="N45" s="231">
        <v>1</v>
      </c>
      <c r="O45" s="232" t="s">
        <v>327</v>
      </c>
      <c r="P45" s="221">
        <f>+E45*6</f>
        <v>18000</v>
      </c>
      <c r="Q45" s="231">
        <v>2</v>
      </c>
      <c r="R45" s="265">
        <f t="shared" si="7"/>
        <v>36000</v>
      </c>
    </row>
    <row r="46" spans="1:18" ht="24" x14ac:dyDescent="0.2">
      <c r="A46" s="210" t="s">
        <v>318</v>
      </c>
      <c r="B46" s="211" t="s">
        <v>319</v>
      </c>
      <c r="C46" s="211" t="s">
        <v>320</v>
      </c>
      <c r="D46" s="229" t="s">
        <v>429</v>
      </c>
      <c r="E46" s="228">
        <v>5000</v>
      </c>
      <c r="F46" s="230">
        <v>47832152</v>
      </c>
      <c r="G46" s="215" t="s">
        <v>430</v>
      </c>
      <c r="H46" s="216" t="s">
        <v>323</v>
      </c>
      <c r="I46" s="217" t="s">
        <v>330</v>
      </c>
      <c r="J46" s="218" t="s">
        <v>331</v>
      </c>
      <c r="K46" s="219">
        <v>1</v>
      </c>
      <c r="L46" s="220">
        <v>12</v>
      </c>
      <c r="M46" s="221">
        <f t="shared" si="9"/>
        <v>60000</v>
      </c>
      <c r="N46" s="231">
        <v>1</v>
      </c>
      <c r="O46" s="232" t="s">
        <v>327</v>
      </c>
      <c r="P46" s="221">
        <f>+E46*6</f>
        <v>30000</v>
      </c>
      <c r="Q46" s="231">
        <v>2</v>
      </c>
      <c r="R46" s="265">
        <f t="shared" si="7"/>
        <v>60000</v>
      </c>
    </row>
    <row r="47" spans="1:18" ht="24" x14ac:dyDescent="0.2">
      <c r="A47" s="210" t="s">
        <v>318</v>
      </c>
      <c r="B47" s="211" t="s">
        <v>319</v>
      </c>
      <c r="C47" s="211" t="s">
        <v>320</v>
      </c>
      <c r="D47" s="227" t="s">
        <v>431</v>
      </c>
      <c r="E47" s="228">
        <v>5500</v>
      </c>
      <c r="F47" s="230" t="s">
        <v>432</v>
      </c>
      <c r="G47" s="215" t="s">
        <v>433</v>
      </c>
      <c r="H47" s="216" t="s">
        <v>434</v>
      </c>
      <c r="I47" s="217" t="s">
        <v>330</v>
      </c>
      <c r="J47" s="218" t="s">
        <v>331</v>
      </c>
      <c r="K47" s="219">
        <v>1</v>
      </c>
      <c r="L47" s="220">
        <v>12</v>
      </c>
      <c r="M47" s="221">
        <f t="shared" si="9"/>
        <v>66000</v>
      </c>
      <c r="N47" s="231">
        <v>1</v>
      </c>
      <c r="O47" s="232" t="s">
        <v>327</v>
      </c>
      <c r="P47" s="221">
        <f>+E47*6</f>
        <v>33000</v>
      </c>
      <c r="Q47" s="231">
        <v>2</v>
      </c>
      <c r="R47" s="265">
        <f t="shared" si="7"/>
        <v>66000</v>
      </c>
    </row>
    <row r="48" spans="1:18" ht="24" x14ac:dyDescent="0.2">
      <c r="A48" s="210" t="s">
        <v>318</v>
      </c>
      <c r="B48" s="211" t="s">
        <v>319</v>
      </c>
      <c r="C48" s="211" t="s">
        <v>320</v>
      </c>
      <c r="D48" s="227" t="s">
        <v>435</v>
      </c>
      <c r="E48" s="228">
        <v>5000</v>
      </c>
      <c r="F48" s="230" t="s">
        <v>436</v>
      </c>
      <c r="G48" s="215" t="s">
        <v>437</v>
      </c>
      <c r="H48" s="216" t="s">
        <v>435</v>
      </c>
      <c r="I48" s="217" t="s">
        <v>330</v>
      </c>
      <c r="J48" s="218" t="s">
        <v>331</v>
      </c>
      <c r="K48" s="219">
        <v>1</v>
      </c>
      <c r="L48" s="220">
        <v>12</v>
      </c>
      <c r="M48" s="221">
        <f t="shared" si="9"/>
        <v>60000</v>
      </c>
      <c r="N48" s="231">
        <v>1</v>
      </c>
      <c r="O48" s="232" t="s">
        <v>327</v>
      </c>
      <c r="P48" s="221">
        <f>+E48*6</f>
        <v>30000</v>
      </c>
      <c r="Q48" s="231">
        <v>2</v>
      </c>
      <c r="R48" s="265">
        <f t="shared" si="7"/>
        <v>60000</v>
      </c>
    </row>
    <row r="49" spans="1:18" ht="24" x14ac:dyDescent="0.2">
      <c r="A49" s="210" t="s">
        <v>318</v>
      </c>
      <c r="B49" s="211" t="s">
        <v>319</v>
      </c>
      <c r="C49" s="211" t="s">
        <v>320</v>
      </c>
      <c r="D49" s="227" t="s">
        <v>438</v>
      </c>
      <c r="E49" s="228">
        <v>3000</v>
      </c>
      <c r="F49" s="230" t="s">
        <v>439</v>
      </c>
      <c r="G49" s="215" t="s">
        <v>440</v>
      </c>
      <c r="H49" s="216" t="s">
        <v>352</v>
      </c>
      <c r="I49" s="217" t="s">
        <v>352</v>
      </c>
      <c r="J49" s="218" t="s">
        <v>325</v>
      </c>
      <c r="K49" s="219">
        <v>1</v>
      </c>
      <c r="L49" s="220">
        <v>12</v>
      </c>
      <c r="M49" s="221">
        <f t="shared" si="9"/>
        <v>36000</v>
      </c>
      <c r="N49" s="231">
        <v>1</v>
      </c>
      <c r="O49" s="232" t="s">
        <v>327</v>
      </c>
      <c r="P49" s="221">
        <f>+E49*6</f>
        <v>18000</v>
      </c>
      <c r="Q49" s="231"/>
      <c r="R49" s="265"/>
    </row>
    <row r="50" spans="1:18" ht="24" x14ac:dyDescent="0.2">
      <c r="A50" s="210" t="s">
        <v>318</v>
      </c>
      <c r="B50" s="211" t="s">
        <v>319</v>
      </c>
      <c r="C50" s="211" t="s">
        <v>320</v>
      </c>
      <c r="D50" s="227" t="s">
        <v>438</v>
      </c>
      <c r="E50" s="228">
        <v>3000</v>
      </c>
      <c r="F50" s="230"/>
      <c r="G50" s="215"/>
      <c r="H50" s="216"/>
      <c r="I50" s="217"/>
      <c r="J50" s="218" t="s">
        <v>325</v>
      </c>
      <c r="K50" s="219"/>
      <c r="L50" s="220"/>
      <c r="M50" s="221"/>
      <c r="N50" s="231"/>
      <c r="O50" s="232"/>
      <c r="P50" s="221"/>
      <c r="Q50" s="231">
        <v>2</v>
      </c>
      <c r="R50" s="265">
        <f t="shared" ref="R50" si="10">12*E50</f>
        <v>36000</v>
      </c>
    </row>
    <row r="51" spans="1:18" ht="36" x14ac:dyDescent="0.2">
      <c r="A51" s="210" t="s">
        <v>318</v>
      </c>
      <c r="B51" s="211" t="s">
        <v>319</v>
      </c>
      <c r="C51" s="211" t="s">
        <v>320</v>
      </c>
      <c r="D51" s="212" t="s">
        <v>441</v>
      </c>
      <c r="E51" s="213">
        <v>5000</v>
      </c>
      <c r="F51" s="230">
        <v>41590515</v>
      </c>
      <c r="G51" s="215" t="s">
        <v>442</v>
      </c>
      <c r="H51" s="216" t="s">
        <v>369</v>
      </c>
      <c r="I51" s="217" t="s">
        <v>330</v>
      </c>
      <c r="J51" s="218" t="s">
        <v>331</v>
      </c>
      <c r="K51" s="219">
        <v>1</v>
      </c>
      <c r="L51" s="220" t="s">
        <v>443</v>
      </c>
      <c r="M51" s="221">
        <f>166.67*194</f>
        <v>32333.979999999996</v>
      </c>
      <c r="N51" s="231"/>
      <c r="O51" s="232"/>
      <c r="P51" s="221"/>
      <c r="Q51" s="231"/>
      <c r="R51" s="265"/>
    </row>
    <row r="52" spans="1:18" ht="24" x14ac:dyDescent="0.2">
      <c r="A52" s="210" t="s">
        <v>318</v>
      </c>
      <c r="B52" s="211" t="s">
        <v>319</v>
      </c>
      <c r="C52" s="211" t="s">
        <v>320</v>
      </c>
      <c r="D52" s="227" t="s">
        <v>444</v>
      </c>
      <c r="E52" s="228">
        <v>4500</v>
      </c>
      <c r="F52" s="230">
        <v>45743233</v>
      </c>
      <c r="G52" s="215" t="s">
        <v>445</v>
      </c>
      <c r="H52" s="216" t="s">
        <v>323</v>
      </c>
      <c r="I52" s="217" t="s">
        <v>324</v>
      </c>
      <c r="J52" s="218" t="s">
        <v>446</v>
      </c>
      <c r="K52" s="219">
        <v>2</v>
      </c>
      <c r="L52" s="220">
        <v>12</v>
      </c>
      <c r="M52" s="221">
        <f t="shared" si="9"/>
        <v>54000</v>
      </c>
      <c r="N52" s="231">
        <v>1</v>
      </c>
      <c r="O52" s="232" t="s">
        <v>327</v>
      </c>
      <c r="P52" s="221">
        <f>+E52*6</f>
        <v>27000</v>
      </c>
      <c r="Q52" s="231">
        <v>2</v>
      </c>
      <c r="R52" s="265">
        <f t="shared" ref="R52:R67" si="11">12*E52</f>
        <v>54000</v>
      </c>
    </row>
    <row r="53" spans="1:18" ht="36" x14ac:dyDescent="0.2">
      <c r="A53" s="210" t="s">
        <v>318</v>
      </c>
      <c r="B53" s="211" t="s">
        <v>319</v>
      </c>
      <c r="C53" s="211" t="s">
        <v>320</v>
      </c>
      <c r="D53" s="227" t="s">
        <v>447</v>
      </c>
      <c r="E53" s="228">
        <v>3000</v>
      </c>
      <c r="F53" s="230">
        <v>10194205</v>
      </c>
      <c r="G53" s="215" t="s">
        <v>448</v>
      </c>
      <c r="H53" s="216" t="s">
        <v>449</v>
      </c>
      <c r="I53" s="217" t="s">
        <v>330</v>
      </c>
      <c r="J53" s="218" t="s">
        <v>446</v>
      </c>
      <c r="K53" s="219">
        <v>1</v>
      </c>
      <c r="L53" s="220" t="s">
        <v>450</v>
      </c>
      <c r="M53" s="221">
        <f>100*233</f>
        <v>23300</v>
      </c>
      <c r="N53" s="231">
        <v>1</v>
      </c>
      <c r="O53" s="232" t="s">
        <v>327</v>
      </c>
      <c r="P53" s="221">
        <f>+E53*6</f>
        <v>18000</v>
      </c>
      <c r="Q53" s="231">
        <v>2</v>
      </c>
      <c r="R53" s="265">
        <f t="shared" si="11"/>
        <v>36000</v>
      </c>
    </row>
    <row r="54" spans="1:18" ht="60" x14ac:dyDescent="0.2">
      <c r="A54" s="210" t="s">
        <v>318</v>
      </c>
      <c r="B54" s="211" t="s">
        <v>319</v>
      </c>
      <c r="C54" s="211" t="s">
        <v>320</v>
      </c>
      <c r="D54" s="227" t="s">
        <v>370</v>
      </c>
      <c r="E54" s="228">
        <v>4000</v>
      </c>
      <c r="F54" s="230">
        <v>71030188</v>
      </c>
      <c r="G54" s="215" t="s">
        <v>451</v>
      </c>
      <c r="H54" s="216" t="s">
        <v>323</v>
      </c>
      <c r="I54" s="217" t="s">
        <v>330</v>
      </c>
      <c r="J54" s="218" t="s">
        <v>325</v>
      </c>
      <c r="K54" s="219">
        <v>1</v>
      </c>
      <c r="L54" s="220">
        <v>12</v>
      </c>
      <c r="M54" s="221">
        <f>+E54*L54</f>
        <v>48000</v>
      </c>
      <c r="N54" s="231">
        <v>1</v>
      </c>
      <c r="O54" s="232" t="s">
        <v>327</v>
      </c>
      <c r="P54" s="221">
        <f>+E54*6</f>
        <v>24000</v>
      </c>
      <c r="Q54" s="231">
        <v>2</v>
      </c>
      <c r="R54" s="265">
        <f t="shared" si="11"/>
        <v>48000</v>
      </c>
    </row>
    <row r="55" spans="1:18" ht="24" x14ac:dyDescent="0.2">
      <c r="A55" s="210" t="s">
        <v>318</v>
      </c>
      <c r="B55" s="211" t="s">
        <v>319</v>
      </c>
      <c r="C55" s="211" t="s">
        <v>320</v>
      </c>
      <c r="D55" s="227" t="s">
        <v>452</v>
      </c>
      <c r="E55" s="228">
        <v>5000</v>
      </c>
      <c r="F55" s="230" t="s">
        <v>453</v>
      </c>
      <c r="G55" s="215" t="s">
        <v>454</v>
      </c>
      <c r="H55" s="216" t="s">
        <v>323</v>
      </c>
      <c r="I55" s="217" t="s">
        <v>330</v>
      </c>
      <c r="J55" s="218" t="s">
        <v>331</v>
      </c>
      <c r="K55" s="219">
        <v>1</v>
      </c>
      <c r="L55" s="220">
        <v>12</v>
      </c>
      <c r="M55" s="221">
        <f>+E55*L55</f>
        <v>60000</v>
      </c>
      <c r="N55" s="231">
        <v>1</v>
      </c>
      <c r="O55" s="232" t="s">
        <v>327</v>
      </c>
      <c r="P55" s="221">
        <f>+E55*6</f>
        <v>30000</v>
      </c>
      <c r="Q55" s="231">
        <v>2</v>
      </c>
      <c r="R55" s="265">
        <f t="shared" si="11"/>
        <v>60000</v>
      </c>
    </row>
    <row r="56" spans="1:18" ht="36" x14ac:dyDescent="0.2">
      <c r="A56" s="210" t="s">
        <v>318</v>
      </c>
      <c r="B56" s="211" t="s">
        <v>319</v>
      </c>
      <c r="C56" s="211" t="s">
        <v>320</v>
      </c>
      <c r="D56" s="227" t="s">
        <v>343</v>
      </c>
      <c r="E56" s="228">
        <v>2500</v>
      </c>
      <c r="F56" s="230">
        <v>43576009</v>
      </c>
      <c r="G56" s="215" t="s">
        <v>455</v>
      </c>
      <c r="H56" s="216" t="s">
        <v>323</v>
      </c>
      <c r="I56" s="217" t="s">
        <v>330</v>
      </c>
      <c r="J56" s="218" t="s">
        <v>353</v>
      </c>
      <c r="K56" s="219">
        <v>1</v>
      </c>
      <c r="L56" s="220" t="s">
        <v>456</v>
      </c>
      <c r="M56" s="221">
        <f>221*83.33</f>
        <v>18415.93</v>
      </c>
      <c r="N56" s="231">
        <v>1</v>
      </c>
      <c r="O56" s="232" t="s">
        <v>457</v>
      </c>
      <c r="P56" s="221">
        <f>+E56*3</f>
        <v>7500</v>
      </c>
      <c r="Q56" s="231"/>
      <c r="R56" s="265"/>
    </row>
    <row r="57" spans="1:18" ht="24" x14ac:dyDescent="0.2">
      <c r="A57" s="210" t="s">
        <v>318</v>
      </c>
      <c r="B57" s="211" t="s">
        <v>319</v>
      </c>
      <c r="C57" s="211" t="s">
        <v>320</v>
      </c>
      <c r="D57" s="227" t="s">
        <v>343</v>
      </c>
      <c r="E57" s="228">
        <v>2500</v>
      </c>
      <c r="F57" s="230"/>
      <c r="G57" s="215"/>
      <c r="H57" s="216"/>
      <c r="I57" s="217"/>
      <c r="J57" s="218" t="s">
        <v>353</v>
      </c>
      <c r="K57" s="219"/>
      <c r="L57" s="220"/>
      <c r="M57" s="221"/>
      <c r="N57" s="231"/>
      <c r="O57" s="232"/>
      <c r="P57" s="221"/>
      <c r="Q57" s="231">
        <v>2</v>
      </c>
      <c r="R57" s="265">
        <f t="shared" ref="R57" si="12">12*E57</f>
        <v>30000</v>
      </c>
    </row>
    <row r="58" spans="1:18" ht="36" x14ac:dyDescent="0.2">
      <c r="A58" s="210" t="s">
        <v>318</v>
      </c>
      <c r="B58" s="211" t="s">
        <v>319</v>
      </c>
      <c r="C58" s="211" t="s">
        <v>320</v>
      </c>
      <c r="D58" s="229" t="s">
        <v>328</v>
      </c>
      <c r="E58" s="228">
        <v>5000</v>
      </c>
      <c r="F58" s="230" t="s">
        <v>458</v>
      </c>
      <c r="G58" s="215" t="s">
        <v>459</v>
      </c>
      <c r="H58" s="216" t="s">
        <v>323</v>
      </c>
      <c r="I58" s="217" t="s">
        <v>330</v>
      </c>
      <c r="J58" s="218" t="s">
        <v>331</v>
      </c>
      <c r="K58" s="219">
        <v>1</v>
      </c>
      <c r="L58" s="220">
        <v>12</v>
      </c>
      <c r="M58" s="221">
        <f>+E58*L58</f>
        <v>60000</v>
      </c>
      <c r="N58" s="231">
        <v>1</v>
      </c>
      <c r="O58" s="232" t="s">
        <v>327</v>
      </c>
      <c r="P58" s="221">
        <f>+E58*6</f>
        <v>30000</v>
      </c>
      <c r="Q58" s="231">
        <v>2</v>
      </c>
      <c r="R58" s="265">
        <f t="shared" si="11"/>
        <v>60000</v>
      </c>
    </row>
    <row r="59" spans="1:18" ht="36" x14ac:dyDescent="0.2">
      <c r="A59" s="210" t="s">
        <v>318</v>
      </c>
      <c r="B59" s="211" t="s">
        <v>319</v>
      </c>
      <c r="C59" s="211" t="s">
        <v>320</v>
      </c>
      <c r="D59" s="227" t="s">
        <v>460</v>
      </c>
      <c r="E59" s="228">
        <v>4000</v>
      </c>
      <c r="F59" s="230" t="s">
        <v>461</v>
      </c>
      <c r="G59" s="215" t="s">
        <v>462</v>
      </c>
      <c r="H59" s="216" t="s">
        <v>323</v>
      </c>
      <c r="I59" s="217" t="s">
        <v>324</v>
      </c>
      <c r="J59" s="218" t="s">
        <v>325</v>
      </c>
      <c r="K59" s="219">
        <v>1</v>
      </c>
      <c r="L59" s="220">
        <v>12</v>
      </c>
      <c r="M59" s="221">
        <f>+E59*L59</f>
        <v>48000</v>
      </c>
      <c r="N59" s="231">
        <v>1</v>
      </c>
      <c r="O59" s="232" t="s">
        <v>463</v>
      </c>
      <c r="P59" s="221">
        <f>133.33*123</f>
        <v>16399.59</v>
      </c>
      <c r="Q59" s="231"/>
      <c r="R59" s="265"/>
    </row>
    <row r="60" spans="1:18" ht="36" x14ac:dyDescent="0.2">
      <c r="A60" s="210" t="s">
        <v>318</v>
      </c>
      <c r="B60" s="211" t="s">
        <v>319</v>
      </c>
      <c r="C60" s="211" t="s">
        <v>320</v>
      </c>
      <c r="D60" s="227" t="s">
        <v>460</v>
      </c>
      <c r="E60" s="228">
        <v>4000</v>
      </c>
      <c r="F60" s="230"/>
      <c r="G60" s="215"/>
      <c r="H60" s="216"/>
      <c r="I60" s="217"/>
      <c r="J60" s="218" t="s">
        <v>325</v>
      </c>
      <c r="K60" s="219"/>
      <c r="L60" s="220"/>
      <c r="M60" s="221"/>
      <c r="N60" s="231"/>
      <c r="O60" s="232"/>
      <c r="P60" s="221"/>
      <c r="Q60" s="231">
        <v>2</v>
      </c>
      <c r="R60" s="265">
        <f t="shared" ref="R60" si="13">12*E60</f>
        <v>48000</v>
      </c>
    </row>
    <row r="61" spans="1:18" ht="24" x14ac:dyDescent="0.2">
      <c r="A61" s="235" t="s">
        <v>318</v>
      </c>
      <c r="B61" s="211" t="s">
        <v>319</v>
      </c>
      <c r="C61" s="211" t="s">
        <v>320</v>
      </c>
      <c r="D61" s="227" t="s">
        <v>464</v>
      </c>
      <c r="E61" s="228">
        <v>3000</v>
      </c>
      <c r="F61" s="230">
        <v>77146195</v>
      </c>
      <c r="G61" s="215" t="s">
        <v>465</v>
      </c>
      <c r="H61" s="216" t="s">
        <v>323</v>
      </c>
      <c r="I61" s="217" t="s">
        <v>330</v>
      </c>
      <c r="J61" s="218" t="s">
        <v>325</v>
      </c>
      <c r="K61" s="219">
        <v>1</v>
      </c>
      <c r="L61" s="220" t="s">
        <v>394</v>
      </c>
      <c r="M61" s="221">
        <f>235*100</f>
        <v>23500</v>
      </c>
      <c r="N61" s="231">
        <v>1</v>
      </c>
      <c r="O61" s="232" t="s">
        <v>466</v>
      </c>
      <c r="P61" s="221">
        <f>100*118</f>
        <v>11800</v>
      </c>
      <c r="Q61" s="231"/>
      <c r="R61" s="265"/>
    </row>
    <row r="62" spans="1:18" x14ac:dyDescent="0.2">
      <c r="A62" s="235" t="s">
        <v>318</v>
      </c>
      <c r="B62" s="211" t="s">
        <v>319</v>
      </c>
      <c r="C62" s="211" t="s">
        <v>320</v>
      </c>
      <c r="D62" s="227" t="s">
        <v>464</v>
      </c>
      <c r="E62" s="228">
        <v>3000</v>
      </c>
      <c r="F62" s="230"/>
      <c r="G62" s="215"/>
      <c r="H62" s="216"/>
      <c r="I62" s="217"/>
      <c r="J62" s="218" t="s">
        <v>325</v>
      </c>
      <c r="K62" s="219"/>
      <c r="L62" s="220"/>
      <c r="M62" s="221"/>
      <c r="N62" s="231"/>
      <c r="O62" s="232"/>
      <c r="P62" s="221"/>
      <c r="Q62" s="231">
        <v>2</v>
      </c>
      <c r="R62" s="265">
        <f t="shared" ref="R62" si="14">12*E62</f>
        <v>36000</v>
      </c>
    </row>
    <row r="63" spans="1:18" ht="24" x14ac:dyDescent="0.2">
      <c r="A63" s="235" t="s">
        <v>318</v>
      </c>
      <c r="B63" s="211" t="s">
        <v>319</v>
      </c>
      <c r="C63" s="211" t="s">
        <v>320</v>
      </c>
      <c r="D63" s="227" t="s">
        <v>387</v>
      </c>
      <c r="E63" s="228">
        <v>3000</v>
      </c>
      <c r="F63" s="230">
        <v>73002089</v>
      </c>
      <c r="G63" s="212" t="s">
        <v>467</v>
      </c>
      <c r="H63" s="238" t="s">
        <v>323</v>
      </c>
      <c r="I63" s="217" t="s">
        <v>330</v>
      </c>
      <c r="J63" s="267" t="s">
        <v>325</v>
      </c>
      <c r="K63" s="268">
        <v>1</v>
      </c>
      <c r="L63" s="269" t="s">
        <v>468</v>
      </c>
      <c r="M63" s="270">
        <f>242*100</f>
        <v>24200</v>
      </c>
      <c r="N63" s="231">
        <v>1</v>
      </c>
      <c r="O63" s="232" t="s">
        <v>327</v>
      </c>
      <c r="P63" s="221">
        <f>+E63*6</f>
        <v>18000</v>
      </c>
      <c r="Q63" s="231">
        <v>2</v>
      </c>
      <c r="R63" s="265">
        <f t="shared" si="11"/>
        <v>36000</v>
      </c>
    </row>
    <row r="64" spans="1:18" ht="36" x14ac:dyDescent="0.2">
      <c r="A64" s="235" t="s">
        <v>318</v>
      </c>
      <c r="B64" s="211" t="s">
        <v>319</v>
      </c>
      <c r="C64" s="211" t="s">
        <v>320</v>
      </c>
      <c r="D64" s="227" t="s">
        <v>469</v>
      </c>
      <c r="E64" s="228">
        <v>6800</v>
      </c>
      <c r="F64" s="230">
        <v>25503026</v>
      </c>
      <c r="G64" s="215" t="s">
        <v>470</v>
      </c>
      <c r="H64" s="216" t="s">
        <v>471</v>
      </c>
      <c r="I64" s="217" t="s">
        <v>324</v>
      </c>
      <c r="J64" s="218" t="s">
        <v>325</v>
      </c>
      <c r="K64" s="268">
        <v>1</v>
      </c>
      <c r="L64" s="220">
        <v>12</v>
      </c>
      <c r="M64" s="221">
        <f>+E64*L64</f>
        <v>81600</v>
      </c>
      <c r="N64" s="231">
        <v>1</v>
      </c>
      <c r="O64" s="232" t="s">
        <v>327</v>
      </c>
      <c r="P64" s="221">
        <f>+E64*6</f>
        <v>40800</v>
      </c>
      <c r="Q64" s="231">
        <v>2</v>
      </c>
      <c r="R64" s="265">
        <f t="shared" si="11"/>
        <v>81600</v>
      </c>
    </row>
    <row r="65" spans="1:18" ht="24" x14ac:dyDescent="0.2">
      <c r="A65" s="235" t="s">
        <v>318</v>
      </c>
      <c r="B65" s="211" t="s">
        <v>319</v>
      </c>
      <c r="C65" s="211" t="s">
        <v>320</v>
      </c>
      <c r="D65" s="212" t="s">
        <v>321</v>
      </c>
      <c r="E65" s="213">
        <v>3000</v>
      </c>
      <c r="F65" s="230">
        <v>47323905</v>
      </c>
      <c r="G65" s="215" t="s">
        <v>472</v>
      </c>
      <c r="H65" s="216" t="s">
        <v>323</v>
      </c>
      <c r="I65" s="217" t="s">
        <v>330</v>
      </c>
      <c r="J65" s="218" t="s">
        <v>325</v>
      </c>
      <c r="K65" s="219">
        <v>1</v>
      </c>
      <c r="L65" s="220" t="s">
        <v>473</v>
      </c>
      <c r="M65" s="221">
        <f>55*100</f>
        <v>5500</v>
      </c>
      <c r="N65" s="231">
        <v>1</v>
      </c>
      <c r="O65" s="232" t="s">
        <v>327</v>
      </c>
      <c r="P65" s="221">
        <f>+E65*6</f>
        <v>18000</v>
      </c>
      <c r="Q65" s="231">
        <v>2</v>
      </c>
      <c r="R65" s="265">
        <f t="shared" si="11"/>
        <v>36000</v>
      </c>
    </row>
    <row r="66" spans="1:18" ht="24" x14ac:dyDescent="0.2">
      <c r="A66" s="235" t="s">
        <v>318</v>
      </c>
      <c r="B66" s="211" t="s">
        <v>319</v>
      </c>
      <c r="C66" s="211" t="s">
        <v>320</v>
      </c>
      <c r="D66" s="212" t="s">
        <v>321</v>
      </c>
      <c r="E66" s="213">
        <v>3000</v>
      </c>
      <c r="F66" s="216">
        <v>48268775</v>
      </c>
      <c r="G66" s="215" t="s">
        <v>474</v>
      </c>
      <c r="H66" s="216" t="s">
        <v>323</v>
      </c>
      <c r="I66" s="217" t="s">
        <v>324</v>
      </c>
      <c r="J66" s="218" t="s">
        <v>325</v>
      </c>
      <c r="K66" s="219">
        <v>1</v>
      </c>
      <c r="L66" s="220">
        <v>12</v>
      </c>
      <c r="M66" s="221">
        <f>+E66*L66</f>
        <v>36000</v>
      </c>
      <c r="N66" s="231">
        <v>1</v>
      </c>
      <c r="O66" s="232" t="s">
        <v>327</v>
      </c>
      <c r="P66" s="221">
        <f>+E66*6</f>
        <v>18000</v>
      </c>
      <c r="Q66" s="231">
        <v>2</v>
      </c>
      <c r="R66" s="265">
        <f t="shared" si="11"/>
        <v>36000</v>
      </c>
    </row>
    <row r="67" spans="1:18" ht="24" x14ac:dyDescent="0.2">
      <c r="A67" s="235" t="s">
        <v>318</v>
      </c>
      <c r="B67" s="211" t="s">
        <v>319</v>
      </c>
      <c r="C67" s="211" t="s">
        <v>320</v>
      </c>
      <c r="D67" s="212" t="s">
        <v>475</v>
      </c>
      <c r="E67" s="213">
        <v>7000</v>
      </c>
      <c r="F67" s="230" t="s">
        <v>476</v>
      </c>
      <c r="G67" s="215" t="s">
        <v>477</v>
      </c>
      <c r="H67" s="216" t="s">
        <v>323</v>
      </c>
      <c r="I67" s="217" t="s">
        <v>330</v>
      </c>
      <c r="J67" s="218" t="s">
        <v>331</v>
      </c>
      <c r="K67" s="219">
        <v>1</v>
      </c>
      <c r="L67" s="220">
        <v>12</v>
      </c>
      <c r="M67" s="221">
        <f>+E67*L67</f>
        <v>84000</v>
      </c>
      <c r="N67" s="231">
        <v>1</v>
      </c>
      <c r="O67" s="232" t="s">
        <v>327</v>
      </c>
      <c r="P67" s="221">
        <f>+E67*6</f>
        <v>42000</v>
      </c>
      <c r="Q67" s="231">
        <v>2</v>
      </c>
      <c r="R67" s="265">
        <f t="shared" si="11"/>
        <v>84000</v>
      </c>
    </row>
    <row r="68" spans="1:18" ht="24" x14ac:dyDescent="0.2">
      <c r="A68" s="235" t="s">
        <v>318</v>
      </c>
      <c r="B68" s="211" t="s">
        <v>319</v>
      </c>
      <c r="C68" s="211" t="s">
        <v>320</v>
      </c>
      <c r="D68" s="212" t="s">
        <v>478</v>
      </c>
      <c r="E68" s="213">
        <v>5000</v>
      </c>
      <c r="F68" s="236" t="s">
        <v>479</v>
      </c>
      <c r="G68" s="215" t="s">
        <v>480</v>
      </c>
      <c r="H68" s="216" t="s">
        <v>323</v>
      </c>
      <c r="I68" s="217" t="s">
        <v>330</v>
      </c>
      <c r="J68" s="218" t="s">
        <v>331</v>
      </c>
      <c r="K68" s="219">
        <v>1</v>
      </c>
      <c r="L68" s="220" t="s">
        <v>427</v>
      </c>
      <c r="M68" s="221">
        <f>121*166.67</f>
        <v>20167.07</v>
      </c>
      <c r="N68" s="231"/>
      <c r="O68" s="232"/>
      <c r="P68" s="221"/>
      <c r="Q68" s="231"/>
      <c r="R68" s="265"/>
    </row>
    <row r="69" spans="1:18" ht="24" x14ac:dyDescent="0.2">
      <c r="A69" s="235" t="s">
        <v>318</v>
      </c>
      <c r="B69" s="211" t="s">
        <v>319</v>
      </c>
      <c r="C69" s="211" t="s">
        <v>320</v>
      </c>
      <c r="D69" s="211" t="s">
        <v>359</v>
      </c>
      <c r="E69" s="213">
        <v>9000</v>
      </c>
      <c r="F69" s="230" t="s">
        <v>481</v>
      </c>
      <c r="G69" s="215" t="s">
        <v>482</v>
      </c>
      <c r="H69" s="216" t="s">
        <v>323</v>
      </c>
      <c r="I69" s="217" t="s">
        <v>330</v>
      </c>
      <c r="J69" s="218" t="s">
        <v>331</v>
      </c>
      <c r="K69" s="219">
        <v>1</v>
      </c>
      <c r="L69" s="220">
        <v>12</v>
      </c>
      <c r="M69" s="221">
        <f>+E69*L69</f>
        <v>108000</v>
      </c>
      <c r="N69" s="231">
        <v>1</v>
      </c>
      <c r="O69" s="232" t="s">
        <v>327</v>
      </c>
      <c r="P69" s="221">
        <f>+E69*6</f>
        <v>54000</v>
      </c>
      <c r="Q69" s="231">
        <v>2</v>
      </c>
      <c r="R69" s="265">
        <f t="shared" ref="R69" si="15">12*E69</f>
        <v>108000</v>
      </c>
    </row>
    <row r="70" spans="1:18" ht="24" x14ac:dyDescent="0.2">
      <c r="A70" s="235" t="s">
        <v>318</v>
      </c>
      <c r="B70" s="211" t="s">
        <v>319</v>
      </c>
      <c r="C70" s="211" t="s">
        <v>320</v>
      </c>
      <c r="D70" s="212" t="s">
        <v>483</v>
      </c>
      <c r="E70" s="213">
        <v>2000</v>
      </c>
      <c r="F70" s="230">
        <v>47356549</v>
      </c>
      <c r="G70" s="215" t="s">
        <v>484</v>
      </c>
      <c r="H70" s="216" t="s">
        <v>352</v>
      </c>
      <c r="I70" s="217" t="s">
        <v>352</v>
      </c>
      <c r="J70" s="218" t="s">
        <v>353</v>
      </c>
      <c r="K70" s="219">
        <v>1</v>
      </c>
      <c r="L70" s="220" t="s">
        <v>427</v>
      </c>
      <c r="M70" s="221">
        <f>121*66.67</f>
        <v>8067.0700000000006</v>
      </c>
      <c r="N70" s="231"/>
      <c r="O70" s="232"/>
      <c r="P70" s="221"/>
      <c r="Q70" s="231"/>
      <c r="R70" s="265"/>
    </row>
    <row r="71" spans="1:18" ht="36" x14ac:dyDescent="0.2">
      <c r="A71" s="235" t="s">
        <v>318</v>
      </c>
      <c r="B71" s="211" t="s">
        <v>319</v>
      </c>
      <c r="C71" s="211" t="s">
        <v>320</v>
      </c>
      <c r="D71" s="212" t="s">
        <v>485</v>
      </c>
      <c r="E71" s="213">
        <v>7000</v>
      </c>
      <c r="F71" s="230">
        <v>41582332</v>
      </c>
      <c r="G71" s="215" t="s">
        <v>486</v>
      </c>
      <c r="H71" s="216" t="s">
        <v>323</v>
      </c>
      <c r="I71" s="217" t="s">
        <v>330</v>
      </c>
      <c r="J71" s="218" t="s">
        <v>331</v>
      </c>
      <c r="K71" s="219">
        <v>1</v>
      </c>
      <c r="L71" s="220">
        <v>12</v>
      </c>
      <c r="M71" s="221">
        <f>+E71*6</f>
        <v>42000</v>
      </c>
      <c r="N71" s="231">
        <v>1</v>
      </c>
      <c r="O71" s="232" t="s">
        <v>487</v>
      </c>
      <c r="P71" s="221">
        <f>4*E71</f>
        <v>28000</v>
      </c>
      <c r="Q71" s="231"/>
      <c r="R71" s="265"/>
    </row>
    <row r="72" spans="1:18" ht="36" x14ac:dyDescent="0.2">
      <c r="A72" s="235" t="s">
        <v>318</v>
      </c>
      <c r="B72" s="211" t="s">
        <v>319</v>
      </c>
      <c r="C72" s="211" t="s">
        <v>320</v>
      </c>
      <c r="D72" s="212" t="s">
        <v>485</v>
      </c>
      <c r="E72" s="213">
        <v>7000</v>
      </c>
      <c r="F72" s="230"/>
      <c r="G72" s="215"/>
      <c r="H72" s="216"/>
      <c r="I72" s="217"/>
      <c r="J72" s="218" t="s">
        <v>331</v>
      </c>
      <c r="K72" s="219"/>
      <c r="L72" s="220"/>
      <c r="M72" s="221"/>
      <c r="N72" s="231"/>
      <c r="O72" s="232"/>
      <c r="P72" s="221"/>
      <c r="Q72" s="231">
        <v>2</v>
      </c>
      <c r="R72" s="265">
        <f t="shared" ref="R72" si="16">12*E72</f>
        <v>84000</v>
      </c>
    </row>
    <row r="73" spans="1:18" ht="24" x14ac:dyDescent="0.2">
      <c r="A73" s="235" t="s">
        <v>318</v>
      </c>
      <c r="B73" s="211" t="s">
        <v>319</v>
      </c>
      <c r="C73" s="211" t="s">
        <v>320</v>
      </c>
      <c r="D73" s="212" t="s">
        <v>323</v>
      </c>
      <c r="E73" s="213">
        <v>4000</v>
      </c>
      <c r="F73" s="230">
        <v>40371272</v>
      </c>
      <c r="G73" s="215" t="s">
        <v>488</v>
      </c>
      <c r="H73" s="216" t="s">
        <v>323</v>
      </c>
      <c r="I73" s="217" t="s">
        <v>330</v>
      </c>
      <c r="J73" s="218" t="s">
        <v>331</v>
      </c>
      <c r="K73" s="219">
        <v>1</v>
      </c>
      <c r="L73" s="220" t="s">
        <v>394</v>
      </c>
      <c r="M73" s="221">
        <f>235*133.33</f>
        <v>31332.550000000003</v>
      </c>
      <c r="N73" s="231"/>
      <c r="O73" s="232"/>
      <c r="P73" s="221"/>
      <c r="Q73" s="231"/>
      <c r="R73" s="265"/>
    </row>
    <row r="74" spans="1:18" ht="24" x14ac:dyDescent="0.2">
      <c r="A74" s="235" t="s">
        <v>318</v>
      </c>
      <c r="B74" s="211" t="s">
        <v>319</v>
      </c>
      <c r="C74" s="211" t="s">
        <v>320</v>
      </c>
      <c r="D74" s="212" t="s">
        <v>489</v>
      </c>
      <c r="E74" s="213">
        <v>8000</v>
      </c>
      <c r="F74" s="236" t="s">
        <v>490</v>
      </c>
      <c r="G74" s="215" t="s">
        <v>491</v>
      </c>
      <c r="H74" s="216" t="s">
        <v>404</v>
      </c>
      <c r="I74" s="217" t="s">
        <v>330</v>
      </c>
      <c r="J74" s="218" t="s">
        <v>331</v>
      </c>
      <c r="K74" s="219">
        <v>1</v>
      </c>
      <c r="L74" s="220" t="s">
        <v>492</v>
      </c>
      <c r="M74" s="221">
        <f>230*266.67</f>
        <v>61334.100000000006</v>
      </c>
      <c r="N74" s="231">
        <v>1</v>
      </c>
      <c r="O74" s="232" t="s">
        <v>327</v>
      </c>
      <c r="P74" s="221">
        <f>+E74*6</f>
        <v>48000</v>
      </c>
      <c r="Q74" s="231">
        <v>2</v>
      </c>
      <c r="R74" s="265">
        <f t="shared" ref="R74:R92" si="17">12*E74</f>
        <v>96000</v>
      </c>
    </row>
    <row r="75" spans="1:18" ht="24" x14ac:dyDescent="0.2">
      <c r="A75" s="235" t="s">
        <v>318</v>
      </c>
      <c r="B75" s="211" t="s">
        <v>319</v>
      </c>
      <c r="C75" s="211" t="s">
        <v>320</v>
      </c>
      <c r="D75" s="212" t="s">
        <v>349</v>
      </c>
      <c r="E75" s="213">
        <v>2000</v>
      </c>
      <c r="F75" s="230">
        <v>70124747</v>
      </c>
      <c r="G75" s="215" t="s">
        <v>493</v>
      </c>
      <c r="H75" s="216" t="s">
        <v>352</v>
      </c>
      <c r="I75" s="217" t="s">
        <v>352</v>
      </c>
      <c r="J75" s="218" t="s">
        <v>353</v>
      </c>
      <c r="K75" s="219">
        <v>1</v>
      </c>
      <c r="L75" s="220" t="s">
        <v>396</v>
      </c>
      <c r="M75" s="221">
        <f>127*66.67</f>
        <v>8467.09</v>
      </c>
      <c r="N75" s="231">
        <v>1</v>
      </c>
      <c r="O75" s="232" t="s">
        <v>494</v>
      </c>
      <c r="P75" s="221">
        <f>2*E75</f>
        <v>4000</v>
      </c>
      <c r="Q75" s="231"/>
      <c r="R75" s="265"/>
    </row>
    <row r="76" spans="1:18" ht="24" x14ac:dyDescent="0.2">
      <c r="A76" s="235" t="s">
        <v>318</v>
      </c>
      <c r="B76" s="211" t="s">
        <v>319</v>
      </c>
      <c r="C76" s="211" t="s">
        <v>320</v>
      </c>
      <c r="D76" s="212" t="s">
        <v>349</v>
      </c>
      <c r="E76" s="213">
        <v>2000</v>
      </c>
      <c r="F76" s="230"/>
      <c r="G76" s="215"/>
      <c r="H76" s="216"/>
      <c r="I76" s="217"/>
      <c r="J76" s="218" t="s">
        <v>353</v>
      </c>
      <c r="K76" s="219"/>
      <c r="L76" s="220"/>
      <c r="M76" s="221"/>
      <c r="N76" s="231"/>
      <c r="O76" s="232"/>
      <c r="P76" s="221"/>
      <c r="Q76" s="231">
        <v>2</v>
      </c>
      <c r="R76" s="265">
        <f t="shared" ref="R76" si="18">12*E76</f>
        <v>24000</v>
      </c>
    </row>
    <row r="77" spans="1:18" ht="24" x14ac:dyDescent="0.2">
      <c r="A77" s="235" t="s">
        <v>318</v>
      </c>
      <c r="B77" s="211" t="s">
        <v>319</v>
      </c>
      <c r="C77" s="211" t="s">
        <v>320</v>
      </c>
      <c r="D77" s="212" t="s">
        <v>483</v>
      </c>
      <c r="E77" s="213">
        <v>2000</v>
      </c>
      <c r="F77" s="230">
        <v>46887142</v>
      </c>
      <c r="G77" s="215" t="s">
        <v>495</v>
      </c>
      <c r="H77" s="216" t="s">
        <v>352</v>
      </c>
      <c r="I77" s="217" t="s">
        <v>352</v>
      </c>
      <c r="J77" s="218" t="s">
        <v>353</v>
      </c>
      <c r="K77" s="219">
        <v>1</v>
      </c>
      <c r="L77" s="220" t="s">
        <v>427</v>
      </c>
      <c r="M77" s="221">
        <f>121*66.67</f>
        <v>8067.0700000000006</v>
      </c>
      <c r="N77" s="231">
        <v>1</v>
      </c>
      <c r="O77" s="232" t="s">
        <v>327</v>
      </c>
      <c r="P77" s="221">
        <f t="shared" ref="P77:P92" si="19">+E77*6</f>
        <v>12000</v>
      </c>
      <c r="Q77" s="231">
        <v>2</v>
      </c>
      <c r="R77" s="265">
        <f t="shared" si="17"/>
        <v>24000</v>
      </c>
    </row>
    <row r="78" spans="1:18" ht="36" x14ac:dyDescent="0.2">
      <c r="A78" s="235" t="s">
        <v>318</v>
      </c>
      <c r="B78" s="211" t="s">
        <v>319</v>
      </c>
      <c r="C78" s="211" t="s">
        <v>320</v>
      </c>
      <c r="D78" s="227" t="s">
        <v>441</v>
      </c>
      <c r="E78" s="228">
        <v>7000</v>
      </c>
      <c r="F78" s="236" t="s">
        <v>496</v>
      </c>
      <c r="G78" s="215" t="s">
        <v>497</v>
      </c>
      <c r="H78" s="216" t="s">
        <v>369</v>
      </c>
      <c r="I78" s="217" t="s">
        <v>330</v>
      </c>
      <c r="J78" s="218" t="s">
        <v>331</v>
      </c>
      <c r="K78" s="219">
        <v>1</v>
      </c>
      <c r="L78" s="220" t="s">
        <v>450</v>
      </c>
      <c r="M78" s="221">
        <f>233*233.33</f>
        <v>54365.89</v>
      </c>
      <c r="N78" s="231">
        <v>1</v>
      </c>
      <c r="O78" s="232" t="s">
        <v>327</v>
      </c>
      <c r="P78" s="221">
        <f t="shared" si="19"/>
        <v>42000</v>
      </c>
      <c r="Q78" s="231">
        <v>2</v>
      </c>
      <c r="R78" s="265">
        <f t="shared" si="17"/>
        <v>84000</v>
      </c>
    </row>
    <row r="79" spans="1:18" ht="36" x14ac:dyDescent="0.2">
      <c r="A79" s="235" t="s">
        <v>318</v>
      </c>
      <c r="B79" s="211" t="s">
        <v>319</v>
      </c>
      <c r="C79" s="211" t="s">
        <v>320</v>
      </c>
      <c r="D79" s="227" t="s">
        <v>498</v>
      </c>
      <c r="E79" s="228">
        <v>6500</v>
      </c>
      <c r="F79" s="230" t="s">
        <v>499</v>
      </c>
      <c r="G79" s="215" t="s">
        <v>500</v>
      </c>
      <c r="H79" s="216" t="s">
        <v>434</v>
      </c>
      <c r="I79" s="217" t="s">
        <v>330</v>
      </c>
      <c r="J79" s="218" t="s">
        <v>331</v>
      </c>
      <c r="K79" s="219">
        <v>1</v>
      </c>
      <c r="L79" s="220">
        <v>12</v>
      </c>
      <c r="M79" s="221">
        <f>+E79*L79</f>
        <v>78000</v>
      </c>
      <c r="N79" s="231">
        <v>1</v>
      </c>
      <c r="O79" s="232" t="s">
        <v>327</v>
      </c>
      <c r="P79" s="221">
        <f t="shared" si="19"/>
        <v>39000</v>
      </c>
      <c r="Q79" s="231">
        <v>2</v>
      </c>
      <c r="R79" s="265">
        <f t="shared" si="17"/>
        <v>78000</v>
      </c>
    </row>
    <row r="80" spans="1:18" ht="24" x14ac:dyDescent="0.2">
      <c r="A80" s="235" t="s">
        <v>318</v>
      </c>
      <c r="B80" s="211" t="s">
        <v>319</v>
      </c>
      <c r="C80" s="211" t="s">
        <v>320</v>
      </c>
      <c r="D80" s="227" t="s">
        <v>501</v>
      </c>
      <c r="E80" s="228">
        <v>3300</v>
      </c>
      <c r="F80" s="230" t="s">
        <v>502</v>
      </c>
      <c r="G80" s="215" t="s">
        <v>503</v>
      </c>
      <c r="H80" s="216" t="s">
        <v>323</v>
      </c>
      <c r="I80" s="217" t="s">
        <v>504</v>
      </c>
      <c r="J80" s="218" t="s">
        <v>325</v>
      </c>
      <c r="K80" s="219">
        <v>1</v>
      </c>
      <c r="L80" s="220">
        <v>12</v>
      </c>
      <c r="M80" s="221">
        <f>+E80*L80</f>
        <v>39600</v>
      </c>
      <c r="N80" s="231">
        <v>1</v>
      </c>
      <c r="O80" s="232" t="s">
        <v>327</v>
      </c>
      <c r="P80" s="221">
        <f t="shared" si="19"/>
        <v>19800</v>
      </c>
      <c r="Q80" s="231">
        <v>2</v>
      </c>
      <c r="R80" s="265">
        <f t="shared" si="17"/>
        <v>39600</v>
      </c>
    </row>
    <row r="81" spans="1:18" ht="24" x14ac:dyDescent="0.2">
      <c r="A81" s="235" t="s">
        <v>318</v>
      </c>
      <c r="B81" s="211" t="s">
        <v>319</v>
      </c>
      <c r="C81" s="211" t="s">
        <v>320</v>
      </c>
      <c r="D81" s="229" t="s">
        <v>323</v>
      </c>
      <c r="E81" s="228">
        <v>4500</v>
      </c>
      <c r="F81" s="230" t="s">
        <v>505</v>
      </c>
      <c r="G81" s="215" t="s">
        <v>506</v>
      </c>
      <c r="H81" s="216" t="s">
        <v>323</v>
      </c>
      <c r="I81" s="217" t="s">
        <v>330</v>
      </c>
      <c r="J81" s="218" t="s">
        <v>331</v>
      </c>
      <c r="K81" s="219">
        <v>1</v>
      </c>
      <c r="L81" s="220">
        <v>12</v>
      </c>
      <c r="M81" s="221">
        <f>+E81*L81</f>
        <v>54000</v>
      </c>
      <c r="N81" s="231">
        <v>1</v>
      </c>
      <c r="O81" s="232" t="s">
        <v>327</v>
      </c>
      <c r="P81" s="221">
        <f t="shared" si="19"/>
        <v>27000</v>
      </c>
      <c r="Q81" s="231">
        <v>2</v>
      </c>
      <c r="R81" s="265">
        <f t="shared" si="17"/>
        <v>54000</v>
      </c>
    </row>
    <row r="82" spans="1:18" ht="24" x14ac:dyDescent="0.2">
      <c r="A82" s="235" t="s">
        <v>318</v>
      </c>
      <c r="B82" s="211" t="s">
        <v>319</v>
      </c>
      <c r="C82" s="211" t="s">
        <v>320</v>
      </c>
      <c r="D82" s="229" t="s">
        <v>413</v>
      </c>
      <c r="E82" s="228">
        <v>8000</v>
      </c>
      <c r="F82" s="230" t="s">
        <v>507</v>
      </c>
      <c r="G82" s="215" t="s">
        <v>508</v>
      </c>
      <c r="H82" s="216" t="s">
        <v>404</v>
      </c>
      <c r="I82" s="217" t="s">
        <v>330</v>
      </c>
      <c r="J82" s="218" t="s">
        <v>331</v>
      </c>
      <c r="K82" s="219">
        <v>2</v>
      </c>
      <c r="L82" s="220">
        <v>12</v>
      </c>
      <c r="M82" s="221">
        <f>+E82*L82</f>
        <v>96000</v>
      </c>
      <c r="N82" s="231">
        <v>1</v>
      </c>
      <c r="O82" s="232" t="s">
        <v>327</v>
      </c>
      <c r="P82" s="221">
        <f t="shared" si="19"/>
        <v>48000</v>
      </c>
      <c r="Q82" s="231">
        <v>2</v>
      </c>
      <c r="R82" s="265">
        <f t="shared" si="17"/>
        <v>96000</v>
      </c>
    </row>
    <row r="83" spans="1:18" ht="24" x14ac:dyDescent="0.2">
      <c r="A83" s="235" t="s">
        <v>318</v>
      </c>
      <c r="B83" s="211" t="s">
        <v>319</v>
      </c>
      <c r="C83" s="211" t="s">
        <v>320</v>
      </c>
      <c r="D83" s="229" t="s">
        <v>509</v>
      </c>
      <c r="E83" s="228">
        <v>3000</v>
      </c>
      <c r="F83" s="230">
        <v>75707854</v>
      </c>
      <c r="G83" s="215" t="s">
        <v>510</v>
      </c>
      <c r="H83" s="216" t="s">
        <v>323</v>
      </c>
      <c r="I83" s="217" t="s">
        <v>330</v>
      </c>
      <c r="J83" s="218" t="s">
        <v>325</v>
      </c>
      <c r="K83" s="219">
        <v>1</v>
      </c>
      <c r="L83" s="220" t="s">
        <v>511</v>
      </c>
      <c r="M83" s="221">
        <f>242*100</f>
        <v>24200</v>
      </c>
      <c r="N83" s="231">
        <v>1</v>
      </c>
      <c r="O83" s="232" t="s">
        <v>327</v>
      </c>
      <c r="P83" s="221">
        <f t="shared" si="19"/>
        <v>18000</v>
      </c>
      <c r="Q83" s="231">
        <v>2</v>
      </c>
      <c r="R83" s="265">
        <f t="shared" si="17"/>
        <v>36000</v>
      </c>
    </row>
    <row r="84" spans="1:18" ht="24" x14ac:dyDescent="0.2">
      <c r="A84" s="235" t="s">
        <v>318</v>
      </c>
      <c r="B84" s="211" t="s">
        <v>319</v>
      </c>
      <c r="C84" s="211" t="s">
        <v>320</v>
      </c>
      <c r="D84" s="227" t="s">
        <v>349</v>
      </c>
      <c r="E84" s="228">
        <v>2000</v>
      </c>
      <c r="F84" s="230">
        <v>45235369</v>
      </c>
      <c r="G84" s="215" t="s">
        <v>512</v>
      </c>
      <c r="H84" s="216" t="s">
        <v>352</v>
      </c>
      <c r="I84" s="217" t="s">
        <v>352</v>
      </c>
      <c r="J84" s="218" t="s">
        <v>353</v>
      </c>
      <c r="K84" s="219">
        <v>1</v>
      </c>
      <c r="L84" s="220" t="s">
        <v>396</v>
      </c>
      <c r="M84" s="221">
        <f>127*66.67</f>
        <v>8467.09</v>
      </c>
      <c r="N84" s="231">
        <v>1</v>
      </c>
      <c r="O84" s="232" t="s">
        <v>327</v>
      </c>
      <c r="P84" s="221">
        <f t="shared" si="19"/>
        <v>12000</v>
      </c>
      <c r="Q84" s="231">
        <v>2</v>
      </c>
      <c r="R84" s="265">
        <f t="shared" si="17"/>
        <v>24000</v>
      </c>
    </row>
    <row r="85" spans="1:18" ht="24" x14ac:dyDescent="0.2">
      <c r="A85" s="235" t="s">
        <v>318</v>
      </c>
      <c r="B85" s="211" t="s">
        <v>319</v>
      </c>
      <c r="C85" s="211" t="s">
        <v>320</v>
      </c>
      <c r="D85" s="229" t="s">
        <v>362</v>
      </c>
      <c r="E85" s="228">
        <v>7000</v>
      </c>
      <c r="F85" s="230" t="s">
        <v>513</v>
      </c>
      <c r="G85" s="215" t="s">
        <v>514</v>
      </c>
      <c r="H85" s="216" t="s">
        <v>323</v>
      </c>
      <c r="I85" s="217" t="s">
        <v>330</v>
      </c>
      <c r="J85" s="218" t="s">
        <v>331</v>
      </c>
      <c r="K85" s="219">
        <v>1</v>
      </c>
      <c r="L85" s="220">
        <v>12</v>
      </c>
      <c r="M85" s="221">
        <f>+E85*L85</f>
        <v>84000</v>
      </c>
      <c r="N85" s="231">
        <v>1</v>
      </c>
      <c r="O85" s="232" t="s">
        <v>327</v>
      </c>
      <c r="P85" s="221">
        <f t="shared" si="19"/>
        <v>42000</v>
      </c>
      <c r="Q85" s="231">
        <v>2</v>
      </c>
      <c r="R85" s="265">
        <f t="shared" si="17"/>
        <v>84000</v>
      </c>
    </row>
    <row r="86" spans="1:18" ht="24" x14ac:dyDescent="0.2">
      <c r="A86" s="235" t="s">
        <v>318</v>
      </c>
      <c r="B86" s="211" t="s">
        <v>319</v>
      </c>
      <c r="C86" s="211" t="s">
        <v>320</v>
      </c>
      <c r="D86" s="229" t="s">
        <v>452</v>
      </c>
      <c r="E86" s="228">
        <v>7000</v>
      </c>
      <c r="F86" s="230" t="s">
        <v>515</v>
      </c>
      <c r="G86" s="215" t="s">
        <v>516</v>
      </c>
      <c r="H86" s="216" t="s">
        <v>323</v>
      </c>
      <c r="I86" s="217" t="s">
        <v>330</v>
      </c>
      <c r="J86" s="218" t="s">
        <v>331</v>
      </c>
      <c r="K86" s="219">
        <v>1</v>
      </c>
      <c r="L86" s="220">
        <v>12</v>
      </c>
      <c r="M86" s="221">
        <f>+E86*L86</f>
        <v>84000</v>
      </c>
      <c r="N86" s="231">
        <v>1</v>
      </c>
      <c r="O86" s="232" t="s">
        <v>327</v>
      </c>
      <c r="P86" s="221">
        <f t="shared" si="19"/>
        <v>42000</v>
      </c>
      <c r="Q86" s="231">
        <v>2</v>
      </c>
      <c r="R86" s="265">
        <f t="shared" si="17"/>
        <v>84000</v>
      </c>
    </row>
    <row r="87" spans="1:18" ht="24" x14ac:dyDescent="0.2">
      <c r="A87" s="235" t="s">
        <v>318</v>
      </c>
      <c r="B87" s="211" t="s">
        <v>319</v>
      </c>
      <c r="C87" s="211" t="s">
        <v>320</v>
      </c>
      <c r="D87" s="229" t="s">
        <v>370</v>
      </c>
      <c r="E87" s="228">
        <v>4000</v>
      </c>
      <c r="F87" s="230">
        <v>47671594</v>
      </c>
      <c r="G87" s="215" t="s">
        <v>517</v>
      </c>
      <c r="H87" s="216" t="s">
        <v>323</v>
      </c>
      <c r="I87" s="217" t="s">
        <v>330</v>
      </c>
      <c r="J87" s="218" t="s">
        <v>325</v>
      </c>
      <c r="K87" s="219">
        <v>1</v>
      </c>
      <c r="L87" s="220">
        <v>12</v>
      </c>
      <c r="M87" s="221">
        <f>+E87*L87</f>
        <v>48000</v>
      </c>
      <c r="N87" s="231">
        <v>1</v>
      </c>
      <c r="O87" s="232" t="s">
        <v>327</v>
      </c>
      <c r="P87" s="221">
        <f t="shared" si="19"/>
        <v>24000</v>
      </c>
      <c r="Q87" s="231">
        <v>2</v>
      </c>
      <c r="R87" s="265">
        <f t="shared" si="17"/>
        <v>48000</v>
      </c>
    </row>
    <row r="88" spans="1:18" ht="36" x14ac:dyDescent="0.2">
      <c r="A88" s="235" t="s">
        <v>318</v>
      </c>
      <c r="B88" s="211" t="s">
        <v>319</v>
      </c>
      <c r="C88" s="211" t="s">
        <v>320</v>
      </c>
      <c r="D88" s="229" t="s">
        <v>370</v>
      </c>
      <c r="E88" s="228">
        <v>4000</v>
      </c>
      <c r="F88" s="230">
        <v>72567170</v>
      </c>
      <c r="G88" s="215" t="s">
        <v>518</v>
      </c>
      <c r="H88" s="216" t="s">
        <v>323</v>
      </c>
      <c r="I88" s="217" t="s">
        <v>330</v>
      </c>
      <c r="J88" s="218" t="s">
        <v>325</v>
      </c>
      <c r="K88" s="219">
        <v>1</v>
      </c>
      <c r="L88" s="220">
        <v>12</v>
      </c>
      <c r="M88" s="221">
        <f>+E88*L88</f>
        <v>48000</v>
      </c>
      <c r="N88" s="231">
        <v>1</v>
      </c>
      <c r="O88" s="232" t="s">
        <v>327</v>
      </c>
      <c r="P88" s="221">
        <f t="shared" si="19"/>
        <v>24000</v>
      </c>
      <c r="Q88" s="231">
        <v>2</v>
      </c>
      <c r="R88" s="265">
        <f t="shared" si="17"/>
        <v>48000</v>
      </c>
    </row>
    <row r="89" spans="1:18" ht="24" x14ac:dyDescent="0.2">
      <c r="A89" s="235" t="s">
        <v>318</v>
      </c>
      <c r="B89" s="211" t="s">
        <v>319</v>
      </c>
      <c r="C89" s="211" t="s">
        <v>320</v>
      </c>
      <c r="D89" s="229" t="s">
        <v>519</v>
      </c>
      <c r="E89" s="228">
        <v>3500</v>
      </c>
      <c r="F89" s="230">
        <v>25773731</v>
      </c>
      <c r="G89" s="215" t="s">
        <v>520</v>
      </c>
      <c r="H89" s="216" t="s">
        <v>323</v>
      </c>
      <c r="I89" s="217" t="s">
        <v>324</v>
      </c>
      <c r="J89" s="218" t="s">
        <v>325</v>
      </c>
      <c r="K89" s="219">
        <v>1</v>
      </c>
      <c r="L89" s="220" t="s">
        <v>492</v>
      </c>
      <c r="M89" s="221">
        <f>230*116.67</f>
        <v>26834.100000000002</v>
      </c>
      <c r="N89" s="231">
        <v>1</v>
      </c>
      <c r="O89" s="232" t="s">
        <v>327</v>
      </c>
      <c r="P89" s="221">
        <f t="shared" si="19"/>
        <v>21000</v>
      </c>
      <c r="Q89" s="231">
        <v>2</v>
      </c>
      <c r="R89" s="265">
        <f t="shared" si="17"/>
        <v>42000</v>
      </c>
    </row>
    <row r="90" spans="1:18" ht="24" x14ac:dyDescent="0.2">
      <c r="A90" s="235" t="s">
        <v>318</v>
      </c>
      <c r="B90" s="211" t="s">
        <v>319</v>
      </c>
      <c r="C90" s="211" t="s">
        <v>320</v>
      </c>
      <c r="D90" s="229" t="s">
        <v>521</v>
      </c>
      <c r="E90" s="228">
        <v>5500</v>
      </c>
      <c r="F90" s="230" t="s">
        <v>522</v>
      </c>
      <c r="G90" s="215" t="s">
        <v>523</v>
      </c>
      <c r="H90" s="216" t="s">
        <v>386</v>
      </c>
      <c r="I90" s="217" t="s">
        <v>386</v>
      </c>
      <c r="J90" s="218" t="s">
        <v>325</v>
      </c>
      <c r="K90" s="219">
        <v>1</v>
      </c>
      <c r="L90" s="220">
        <v>12</v>
      </c>
      <c r="M90" s="221">
        <f>+E90*L90</f>
        <v>66000</v>
      </c>
      <c r="N90" s="231">
        <v>1</v>
      </c>
      <c r="O90" s="232" t="s">
        <v>327</v>
      </c>
      <c r="P90" s="221">
        <f t="shared" si="19"/>
        <v>33000</v>
      </c>
      <c r="Q90" s="231">
        <v>2</v>
      </c>
      <c r="R90" s="265">
        <f t="shared" si="17"/>
        <v>66000</v>
      </c>
    </row>
    <row r="91" spans="1:18" ht="24" x14ac:dyDescent="0.2">
      <c r="A91" s="235" t="s">
        <v>318</v>
      </c>
      <c r="B91" s="211" t="s">
        <v>319</v>
      </c>
      <c r="C91" s="211" t="s">
        <v>320</v>
      </c>
      <c r="D91" s="237" t="s">
        <v>524</v>
      </c>
      <c r="E91" s="228">
        <v>5600</v>
      </c>
      <c r="F91" s="230" t="s">
        <v>525</v>
      </c>
      <c r="G91" s="215" t="s">
        <v>526</v>
      </c>
      <c r="H91" s="216" t="s">
        <v>527</v>
      </c>
      <c r="I91" s="217" t="s">
        <v>324</v>
      </c>
      <c r="J91" s="218" t="s">
        <v>325</v>
      </c>
      <c r="K91" s="219">
        <v>1</v>
      </c>
      <c r="L91" s="220">
        <v>12</v>
      </c>
      <c r="M91" s="221">
        <f>+E91*L91</f>
        <v>67200</v>
      </c>
      <c r="N91" s="231">
        <v>1</v>
      </c>
      <c r="O91" s="232" t="s">
        <v>327</v>
      </c>
      <c r="P91" s="221">
        <f t="shared" si="19"/>
        <v>33600</v>
      </c>
      <c r="Q91" s="231">
        <v>2</v>
      </c>
      <c r="R91" s="265">
        <f t="shared" si="17"/>
        <v>67200</v>
      </c>
    </row>
    <row r="92" spans="1:18" ht="36" x14ac:dyDescent="0.2">
      <c r="A92" s="235" t="s">
        <v>318</v>
      </c>
      <c r="B92" s="211" t="s">
        <v>319</v>
      </c>
      <c r="C92" s="211" t="s">
        <v>320</v>
      </c>
      <c r="D92" s="237" t="s">
        <v>528</v>
      </c>
      <c r="E92" s="228">
        <v>3000</v>
      </c>
      <c r="F92" s="230">
        <v>40809368</v>
      </c>
      <c r="G92" s="215" t="s">
        <v>529</v>
      </c>
      <c r="H92" s="216" t="s">
        <v>530</v>
      </c>
      <c r="I92" s="217" t="s">
        <v>330</v>
      </c>
      <c r="J92" s="218" t="s">
        <v>325</v>
      </c>
      <c r="K92" s="219">
        <v>1</v>
      </c>
      <c r="L92" s="220" t="s">
        <v>427</v>
      </c>
      <c r="M92" s="221">
        <f>121*100</f>
        <v>12100</v>
      </c>
      <c r="N92" s="231">
        <v>1</v>
      </c>
      <c r="O92" s="232" t="s">
        <v>327</v>
      </c>
      <c r="P92" s="221">
        <f t="shared" si="19"/>
        <v>18000</v>
      </c>
      <c r="Q92" s="231">
        <v>2</v>
      </c>
      <c r="R92" s="265">
        <f t="shared" si="17"/>
        <v>36000</v>
      </c>
    </row>
    <row r="93" spans="1:18" ht="24" x14ac:dyDescent="0.2">
      <c r="A93" s="235" t="s">
        <v>318</v>
      </c>
      <c r="B93" s="211" t="s">
        <v>319</v>
      </c>
      <c r="C93" s="211" t="s">
        <v>320</v>
      </c>
      <c r="D93" s="229" t="s">
        <v>531</v>
      </c>
      <c r="E93" s="228">
        <v>7000</v>
      </c>
      <c r="F93" s="230" t="s">
        <v>532</v>
      </c>
      <c r="G93" s="215" t="s">
        <v>533</v>
      </c>
      <c r="H93" s="216" t="s">
        <v>323</v>
      </c>
      <c r="I93" s="217" t="s">
        <v>330</v>
      </c>
      <c r="J93" s="218" t="s">
        <v>331</v>
      </c>
      <c r="K93" s="219">
        <v>1</v>
      </c>
      <c r="L93" s="220">
        <v>1</v>
      </c>
      <c r="M93" s="221">
        <f>+E93</f>
        <v>7000</v>
      </c>
      <c r="N93" s="231"/>
      <c r="O93" s="232"/>
      <c r="P93" s="221"/>
      <c r="Q93" s="231"/>
      <c r="R93" s="265"/>
    </row>
    <row r="94" spans="1:18" ht="24" x14ac:dyDescent="0.2">
      <c r="A94" s="235" t="s">
        <v>318</v>
      </c>
      <c r="B94" s="211" t="s">
        <v>319</v>
      </c>
      <c r="C94" s="211" t="s">
        <v>320</v>
      </c>
      <c r="D94" s="229" t="s">
        <v>531</v>
      </c>
      <c r="E94" s="228">
        <v>7000</v>
      </c>
      <c r="F94" s="230" t="s">
        <v>534</v>
      </c>
      <c r="G94" s="215" t="s">
        <v>535</v>
      </c>
      <c r="H94" s="216" t="s">
        <v>323</v>
      </c>
      <c r="I94" s="217" t="s">
        <v>330</v>
      </c>
      <c r="J94" s="218" t="s">
        <v>331</v>
      </c>
      <c r="K94" s="219">
        <v>1</v>
      </c>
      <c r="L94" s="220">
        <v>12</v>
      </c>
      <c r="M94" s="221">
        <f>+E94*L94</f>
        <v>84000</v>
      </c>
      <c r="N94" s="231">
        <v>1</v>
      </c>
      <c r="O94" s="232" t="s">
        <v>327</v>
      </c>
      <c r="P94" s="221">
        <f>+E94*6</f>
        <v>42000</v>
      </c>
      <c r="Q94" s="231">
        <v>2</v>
      </c>
      <c r="R94" s="265">
        <f t="shared" ref="R94:R102" si="20">12*E94</f>
        <v>84000</v>
      </c>
    </row>
    <row r="95" spans="1:18" ht="24" x14ac:dyDescent="0.2">
      <c r="A95" s="235" t="s">
        <v>318</v>
      </c>
      <c r="B95" s="211" t="s">
        <v>319</v>
      </c>
      <c r="C95" s="211" t="s">
        <v>320</v>
      </c>
      <c r="D95" s="229" t="s">
        <v>536</v>
      </c>
      <c r="E95" s="228">
        <v>4000</v>
      </c>
      <c r="F95" s="230" t="s">
        <v>537</v>
      </c>
      <c r="G95" s="215" t="s">
        <v>538</v>
      </c>
      <c r="H95" s="216" t="s">
        <v>323</v>
      </c>
      <c r="I95" s="217" t="s">
        <v>539</v>
      </c>
      <c r="J95" s="218" t="s">
        <v>331</v>
      </c>
      <c r="K95" s="219">
        <v>1</v>
      </c>
      <c r="L95" s="220" t="s">
        <v>540</v>
      </c>
      <c r="M95" s="221">
        <f>51*133.33</f>
        <v>6799.8300000000008</v>
      </c>
      <c r="N95" s="231">
        <v>1</v>
      </c>
      <c r="O95" s="232" t="s">
        <v>361</v>
      </c>
      <c r="P95" s="221">
        <f>+E95*1</f>
        <v>4000</v>
      </c>
      <c r="Q95" s="231"/>
      <c r="R95" s="265"/>
    </row>
    <row r="96" spans="1:18" ht="24" x14ac:dyDescent="0.2">
      <c r="A96" s="235" t="s">
        <v>318</v>
      </c>
      <c r="B96" s="211" t="s">
        <v>319</v>
      </c>
      <c r="C96" s="211" t="s">
        <v>320</v>
      </c>
      <c r="D96" s="229" t="s">
        <v>362</v>
      </c>
      <c r="E96" s="228">
        <v>7000</v>
      </c>
      <c r="F96" s="230" t="s">
        <v>541</v>
      </c>
      <c r="G96" s="215" t="s">
        <v>542</v>
      </c>
      <c r="H96" s="216" t="s">
        <v>323</v>
      </c>
      <c r="I96" s="217" t="s">
        <v>330</v>
      </c>
      <c r="J96" s="218" t="s">
        <v>331</v>
      </c>
      <c r="K96" s="219">
        <v>1</v>
      </c>
      <c r="L96" s="220">
        <v>12</v>
      </c>
      <c r="M96" s="221">
        <f>+E96*L96</f>
        <v>84000</v>
      </c>
      <c r="N96" s="231">
        <v>1</v>
      </c>
      <c r="O96" s="232" t="s">
        <v>327</v>
      </c>
      <c r="P96" s="221">
        <f t="shared" ref="P96:P102" si="21">+E96*6</f>
        <v>42000</v>
      </c>
      <c r="Q96" s="231">
        <v>2</v>
      </c>
      <c r="R96" s="265">
        <f t="shared" si="20"/>
        <v>84000</v>
      </c>
    </row>
    <row r="97" spans="1:18" ht="24" x14ac:dyDescent="0.2">
      <c r="A97" s="235" t="s">
        <v>318</v>
      </c>
      <c r="B97" s="211" t="s">
        <v>319</v>
      </c>
      <c r="C97" s="211" t="s">
        <v>320</v>
      </c>
      <c r="D97" s="229" t="s">
        <v>543</v>
      </c>
      <c r="E97" s="228">
        <v>2500</v>
      </c>
      <c r="F97" s="230" t="s">
        <v>544</v>
      </c>
      <c r="G97" s="215" t="s">
        <v>545</v>
      </c>
      <c r="H97" s="216" t="s">
        <v>323</v>
      </c>
      <c r="I97" s="217" t="s">
        <v>330</v>
      </c>
      <c r="J97" s="218" t="s">
        <v>325</v>
      </c>
      <c r="K97" s="219">
        <v>1</v>
      </c>
      <c r="L97" s="220">
        <v>12</v>
      </c>
      <c r="M97" s="271">
        <f>+E97*L97</f>
        <v>30000</v>
      </c>
      <c r="N97" s="231">
        <v>1</v>
      </c>
      <c r="O97" s="232" t="s">
        <v>327</v>
      </c>
      <c r="P97" s="221">
        <f t="shared" si="21"/>
        <v>15000</v>
      </c>
      <c r="Q97" s="231">
        <v>2</v>
      </c>
      <c r="R97" s="265">
        <f t="shared" si="20"/>
        <v>30000</v>
      </c>
    </row>
    <row r="98" spans="1:18" ht="24" x14ac:dyDescent="0.2">
      <c r="A98" s="235" t="s">
        <v>318</v>
      </c>
      <c r="B98" s="211" t="s">
        <v>319</v>
      </c>
      <c r="C98" s="211" t="s">
        <v>320</v>
      </c>
      <c r="D98" s="211" t="s">
        <v>387</v>
      </c>
      <c r="E98" s="213">
        <v>3000</v>
      </c>
      <c r="F98" s="230">
        <v>47676204</v>
      </c>
      <c r="G98" s="215" t="s">
        <v>546</v>
      </c>
      <c r="H98" s="216" t="s">
        <v>323</v>
      </c>
      <c r="I98" s="217" t="s">
        <v>330</v>
      </c>
      <c r="J98" s="218" t="s">
        <v>325</v>
      </c>
      <c r="K98" s="219">
        <v>1</v>
      </c>
      <c r="L98" s="220" t="s">
        <v>547</v>
      </c>
      <c r="M98" s="221">
        <f>41*100</f>
        <v>4100</v>
      </c>
      <c r="N98" s="231">
        <v>1</v>
      </c>
      <c r="O98" s="232" t="s">
        <v>327</v>
      </c>
      <c r="P98" s="221">
        <f t="shared" si="21"/>
        <v>18000</v>
      </c>
      <c r="Q98" s="231">
        <v>2</v>
      </c>
      <c r="R98" s="265">
        <f t="shared" si="20"/>
        <v>36000</v>
      </c>
    </row>
    <row r="99" spans="1:18" ht="36" x14ac:dyDescent="0.2">
      <c r="A99" s="235" t="s">
        <v>318</v>
      </c>
      <c r="B99" s="211" t="s">
        <v>319</v>
      </c>
      <c r="C99" s="211" t="s">
        <v>320</v>
      </c>
      <c r="D99" s="229" t="s">
        <v>548</v>
      </c>
      <c r="E99" s="228">
        <v>6000</v>
      </c>
      <c r="F99" s="230">
        <v>46163636</v>
      </c>
      <c r="G99" s="215" t="s">
        <v>549</v>
      </c>
      <c r="H99" s="216" t="s">
        <v>550</v>
      </c>
      <c r="I99" s="217" t="s">
        <v>539</v>
      </c>
      <c r="J99" s="218" t="s">
        <v>331</v>
      </c>
      <c r="K99" s="219">
        <v>1</v>
      </c>
      <c r="L99" s="220">
        <v>12</v>
      </c>
      <c r="M99" s="221">
        <f>+E99*L99</f>
        <v>72000</v>
      </c>
      <c r="N99" s="231">
        <v>1</v>
      </c>
      <c r="O99" s="232" t="s">
        <v>327</v>
      </c>
      <c r="P99" s="221">
        <f t="shared" si="21"/>
        <v>36000</v>
      </c>
      <c r="Q99" s="231">
        <v>2</v>
      </c>
      <c r="R99" s="265">
        <f t="shared" si="20"/>
        <v>72000</v>
      </c>
    </row>
    <row r="100" spans="1:18" ht="36" x14ac:dyDescent="0.2">
      <c r="A100" s="235" t="s">
        <v>318</v>
      </c>
      <c r="B100" s="211" t="s">
        <v>319</v>
      </c>
      <c r="C100" s="211" t="s">
        <v>320</v>
      </c>
      <c r="D100" s="237" t="s">
        <v>551</v>
      </c>
      <c r="E100" s="228">
        <v>3500</v>
      </c>
      <c r="F100" s="230" t="s">
        <v>552</v>
      </c>
      <c r="G100" s="215" t="s">
        <v>553</v>
      </c>
      <c r="H100" s="216" t="s">
        <v>554</v>
      </c>
      <c r="I100" s="217" t="s">
        <v>324</v>
      </c>
      <c r="J100" s="218" t="s">
        <v>446</v>
      </c>
      <c r="K100" s="219">
        <v>1</v>
      </c>
      <c r="L100" s="220">
        <v>12</v>
      </c>
      <c r="M100" s="271">
        <f>+E100*L100</f>
        <v>42000</v>
      </c>
      <c r="N100" s="231">
        <v>1</v>
      </c>
      <c r="O100" s="232" t="s">
        <v>327</v>
      </c>
      <c r="P100" s="221">
        <f t="shared" si="21"/>
        <v>21000</v>
      </c>
      <c r="Q100" s="231">
        <v>2</v>
      </c>
      <c r="R100" s="265">
        <f t="shared" si="20"/>
        <v>42000</v>
      </c>
    </row>
    <row r="101" spans="1:18" ht="24" x14ac:dyDescent="0.2">
      <c r="A101" s="235" t="s">
        <v>318</v>
      </c>
      <c r="B101" s="211" t="s">
        <v>319</v>
      </c>
      <c r="C101" s="211" t="s">
        <v>320</v>
      </c>
      <c r="D101" s="237" t="s">
        <v>323</v>
      </c>
      <c r="E101" s="228">
        <v>4000</v>
      </c>
      <c r="F101" s="230">
        <v>72690717</v>
      </c>
      <c r="G101" s="215" t="s">
        <v>555</v>
      </c>
      <c r="H101" s="216" t="s">
        <v>323</v>
      </c>
      <c r="I101" s="217" t="s">
        <v>330</v>
      </c>
      <c r="J101" s="218" t="s">
        <v>331</v>
      </c>
      <c r="K101" s="219">
        <v>1</v>
      </c>
      <c r="L101" s="220" t="s">
        <v>556</v>
      </c>
      <c r="M101" s="221">
        <f>237*133.33</f>
        <v>31599.210000000003</v>
      </c>
      <c r="N101" s="231">
        <v>1</v>
      </c>
      <c r="O101" s="232" t="s">
        <v>327</v>
      </c>
      <c r="P101" s="221">
        <f t="shared" si="21"/>
        <v>24000</v>
      </c>
      <c r="Q101" s="231">
        <v>2</v>
      </c>
      <c r="R101" s="265">
        <f t="shared" si="20"/>
        <v>48000</v>
      </c>
    </row>
    <row r="102" spans="1:18" ht="24" x14ac:dyDescent="0.2">
      <c r="A102" s="235" t="s">
        <v>318</v>
      </c>
      <c r="B102" s="211" t="s">
        <v>319</v>
      </c>
      <c r="C102" s="211" t="s">
        <v>320</v>
      </c>
      <c r="D102" s="229" t="s">
        <v>501</v>
      </c>
      <c r="E102" s="228">
        <v>3800</v>
      </c>
      <c r="F102" s="230" t="s">
        <v>557</v>
      </c>
      <c r="G102" s="215" t="s">
        <v>558</v>
      </c>
      <c r="H102" s="238" t="s">
        <v>400</v>
      </c>
      <c r="I102" s="217" t="s">
        <v>401</v>
      </c>
      <c r="J102" s="239" t="s">
        <v>325</v>
      </c>
      <c r="K102" s="219">
        <v>1</v>
      </c>
      <c r="L102" s="220">
        <v>12</v>
      </c>
      <c r="M102" s="271">
        <f>+E102*L102</f>
        <v>45600</v>
      </c>
      <c r="N102" s="231">
        <v>1</v>
      </c>
      <c r="O102" s="232" t="s">
        <v>327</v>
      </c>
      <c r="P102" s="221">
        <f t="shared" si="21"/>
        <v>22800</v>
      </c>
      <c r="Q102" s="231">
        <v>2</v>
      </c>
      <c r="R102" s="265">
        <f t="shared" si="20"/>
        <v>45600</v>
      </c>
    </row>
    <row r="103" spans="1:18" ht="24" x14ac:dyDescent="0.2">
      <c r="A103" s="235" t="s">
        <v>318</v>
      </c>
      <c r="B103" s="211" t="s">
        <v>319</v>
      </c>
      <c r="C103" s="211" t="s">
        <v>320</v>
      </c>
      <c r="D103" s="211" t="s">
        <v>524</v>
      </c>
      <c r="E103" s="213">
        <v>4700</v>
      </c>
      <c r="F103" s="230">
        <v>42165088</v>
      </c>
      <c r="G103" s="215" t="s">
        <v>559</v>
      </c>
      <c r="H103" s="238" t="s">
        <v>560</v>
      </c>
      <c r="I103" s="217" t="s">
        <v>330</v>
      </c>
      <c r="J103" s="239" t="s">
        <v>325</v>
      </c>
      <c r="K103" s="219">
        <v>1</v>
      </c>
      <c r="L103" s="220" t="s">
        <v>561</v>
      </c>
      <c r="M103" s="221">
        <f>191*156.67</f>
        <v>29923.969999999998</v>
      </c>
      <c r="N103" s="231"/>
      <c r="O103" s="232"/>
      <c r="P103" s="221"/>
      <c r="Q103" s="231"/>
      <c r="R103" s="265"/>
    </row>
    <row r="104" spans="1:18" ht="24" x14ac:dyDescent="0.2">
      <c r="A104" s="235" t="s">
        <v>318</v>
      </c>
      <c r="B104" s="211" t="s">
        <v>319</v>
      </c>
      <c r="C104" s="211" t="s">
        <v>320</v>
      </c>
      <c r="D104" s="229" t="s">
        <v>562</v>
      </c>
      <c r="E104" s="228">
        <v>7000</v>
      </c>
      <c r="F104" s="236" t="s">
        <v>563</v>
      </c>
      <c r="G104" s="215" t="s">
        <v>564</v>
      </c>
      <c r="H104" s="238" t="s">
        <v>565</v>
      </c>
      <c r="I104" s="217" t="s">
        <v>330</v>
      </c>
      <c r="J104" s="218" t="s">
        <v>331</v>
      </c>
      <c r="K104" s="219">
        <v>1</v>
      </c>
      <c r="L104" s="220">
        <v>12</v>
      </c>
      <c r="M104" s="221">
        <f>+E104*L104</f>
        <v>84000</v>
      </c>
      <c r="N104" s="231">
        <v>1</v>
      </c>
      <c r="O104" s="232" t="s">
        <v>327</v>
      </c>
      <c r="P104" s="221">
        <f>+E104*6</f>
        <v>42000</v>
      </c>
      <c r="Q104" s="231">
        <v>2</v>
      </c>
      <c r="R104" s="265">
        <f t="shared" ref="R104:R116" si="22">12*E104</f>
        <v>84000</v>
      </c>
    </row>
    <row r="105" spans="1:18" x14ac:dyDescent="0.2">
      <c r="A105" s="235" t="s">
        <v>318</v>
      </c>
      <c r="B105" s="211" t="s">
        <v>319</v>
      </c>
      <c r="C105" s="211" t="s">
        <v>320</v>
      </c>
      <c r="D105" s="229" t="s">
        <v>566</v>
      </c>
      <c r="E105" s="228">
        <v>7000</v>
      </c>
      <c r="F105" s="230">
        <v>21872418</v>
      </c>
      <c r="G105" s="215" t="s">
        <v>567</v>
      </c>
      <c r="H105" s="238" t="s">
        <v>568</v>
      </c>
      <c r="I105" s="217" t="s">
        <v>330</v>
      </c>
      <c r="J105" s="218" t="s">
        <v>331</v>
      </c>
      <c r="K105" s="219">
        <v>1</v>
      </c>
      <c r="L105" s="220">
        <v>12</v>
      </c>
      <c r="M105" s="221">
        <f>+E105*L105</f>
        <v>84000</v>
      </c>
      <c r="N105" s="231">
        <v>1</v>
      </c>
      <c r="O105" s="232" t="s">
        <v>569</v>
      </c>
      <c r="P105" s="221">
        <f>233.33*133</f>
        <v>31032.890000000003</v>
      </c>
      <c r="Q105" s="231"/>
      <c r="R105" s="265"/>
    </row>
    <row r="106" spans="1:18" x14ac:dyDescent="0.2">
      <c r="A106" s="235" t="s">
        <v>318</v>
      </c>
      <c r="B106" s="211" t="s">
        <v>319</v>
      </c>
      <c r="C106" s="211" t="s">
        <v>320</v>
      </c>
      <c r="D106" s="229" t="s">
        <v>566</v>
      </c>
      <c r="E106" s="228">
        <v>7000</v>
      </c>
      <c r="F106" s="230"/>
      <c r="G106" s="215"/>
      <c r="H106" s="238"/>
      <c r="I106" s="217"/>
      <c r="J106" s="218" t="s">
        <v>331</v>
      </c>
      <c r="K106" s="219"/>
      <c r="L106" s="220"/>
      <c r="M106" s="221"/>
      <c r="N106" s="231"/>
      <c r="O106" s="232"/>
      <c r="P106" s="221"/>
      <c r="Q106" s="231">
        <v>2</v>
      </c>
      <c r="R106" s="265">
        <f t="shared" ref="R106" si="23">12*E106</f>
        <v>84000</v>
      </c>
    </row>
    <row r="107" spans="1:18" ht="24" x14ac:dyDescent="0.2">
      <c r="A107" s="235" t="s">
        <v>318</v>
      </c>
      <c r="B107" s="211" t="s">
        <v>319</v>
      </c>
      <c r="C107" s="211" t="s">
        <v>320</v>
      </c>
      <c r="D107" s="229" t="s">
        <v>570</v>
      </c>
      <c r="E107" s="228">
        <v>5000</v>
      </c>
      <c r="F107" s="230">
        <v>43584322</v>
      </c>
      <c r="G107" s="215" t="s">
        <v>571</v>
      </c>
      <c r="H107" s="216" t="s">
        <v>323</v>
      </c>
      <c r="I107" s="217" t="s">
        <v>330</v>
      </c>
      <c r="J107" s="218" t="s">
        <v>331</v>
      </c>
      <c r="K107" s="219">
        <v>1</v>
      </c>
      <c r="L107" s="220">
        <v>12</v>
      </c>
      <c r="M107" s="221">
        <f>+E107*L107</f>
        <v>60000</v>
      </c>
      <c r="N107" s="231">
        <v>1</v>
      </c>
      <c r="O107" s="232" t="s">
        <v>327</v>
      </c>
      <c r="P107" s="221">
        <f>+E107*6</f>
        <v>30000</v>
      </c>
      <c r="Q107" s="231">
        <v>2</v>
      </c>
      <c r="R107" s="265">
        <f t="shared" si="22"/>
        <v>60000</v>
      </c>
    </row>
    <row r="108" spans="1:18" ht="24" x14ac:dyDescent="0.2">
      <c r="A108" s="235" t="s">
        <v>318</v>
      </c>
      <c r="B108" s="211" t="s">
        <v>319</v>
      </c>
      <c r="C108" s="211" t="s">
        <v>320</v>
      </c>
      <c r="D108" s="229" t="s">
        <v>387</v>
      </c>
      <c r="E108" s="228">
        <v>3000</v>
      </c>
      <c r="F108" s="230">
        <v>73797746</v>
      </c>
      <c r="G108" s="215" t="s">
        <v>572</v>
      </c>
      <c r="H108" s="216" t="s">
        <v>323</v>
      </c>
      <c r="I108" s="217" t="s">
        <v>330</v>
      </c>
      <c r="J108" s="218" t="s">
        <v>325</v>
      </c>
      <c r="K108" s="219">
        <v>1</v>
      </c>
      <c r="L108" s="220" t="s">
        <v>573</v>
      </c>
      <c r="M108" s="221">
        <f>242*100</f>
        <v>24200</v>
      </c>
      <c r="N108" s="231">
        <v>1</v>
      </c>
      <c r="O108" s="232" t="s">
        <v>327</v>
      </c>
      <c r="P108" s="221">
        <f>+E108*6</f>
        <v>18000</v>
      </c>
      <c r="Q108" s="231">
        <v>2</v>
      </c>
      <c r="R108" s="265">
        <f t="shared" si="22"/>
        <v>36000</v>
      </c>
    </row>
    <row r="109" spans="1:18" ht="24" x14ac:dyDescent="0.2">
      <c r="A109" s="235" t="s">
        <v>318</v>
      </c>
      <c r="B109" s="211" t="s">
        <v>319</v>
      </c>
      <c r="C109" s="211" t="s">
        <v>320</v>
      </c>
      <c r="D109" s="229" t="s">
        <v>536</v>
      </c>
      <c r="E109" s="228">
        <v>4000</v>
      </c>
      <c r="F109" s="230" t="s">
        <v>574</v>
      </c>
      <c r="G109" s="215" t="s">
        <v>465</v>
      </c>
      <c r="H109" s="216" t="s">
        <v>323</v>
      </c>
      <c r="I109" s="217" t="s">
        <v>575</v>
      </c>
      <c r="J109" s="218" t="s">
        <v>331</v>
      </c>
      <c r="K109" s="272"/>
      <c r="L109" s="273"/>
      <c r="M109" s="274"/>
      <c r="N109" s="231">
        <v>1</v>
      </c>
      <c r="O109" s="275" t="s">
        <v>576</v>
      </c>
      <c r="P109" s="276">
        <f>133.33*58</f>
        <v>7733.14</v>
      </c>
      <c r="Q109" s="231">
        <v>2</v>
      </c>
      <c r="R109" s="265">
        <f t="shared" si="22"/>
        <v>48000</v>
      </c>
    </row>
    <row r="110" spans="1:18" ht="36" x14ac:dyDescent="0.2">
      <c r="A110" s="235" t="s">
        <v>318</v>
      </c>
      <c r="B110" s="211" t="s">
        <v>319</v>
      </c>
      <c r="C110" s="211" t="s">
        <v>320</v>
      </c>
      <c r="D110" s="229" t="s">
        <v>577</v>
      </c>
      <c r="E110" s="228">
        <v>5000</v>
      </c>
      <c r="F110" s="230" t="s">
        <v>578</v>
      </c>
      <c r="G110" s="215" t="s">
        <v>579</v>
      </c>
      <c r="H110" s="216" t="s">
        <v>580</v>
      </c>
      <c r="I110" s="217" t="s">
        <v>324</v>
      </c>
      <c r="J110" s="218" t="s">
        <v>331</v>
      </c>
      <c r="K110" s="219">
        <v>1</v>
      </c>
      <c r="L110" s="220" t="s">
        <v>581</v>
      </c>
      <c r="M110" s="221">
        <f>166.67*65</f>
        <v>10833.55</v>
      </c>
      <c r="N110" s="231">
        <v>1</v>
      </c>
      <c r="O110" s="232" t="s">
        <v>327</v>
      </c>
      <c r="P110" s="221">
        <f>+E110*6</f>
        <v>30000</v>
      </c>
      <c r="Q110" s="231">
        <v>2</v>
      </c>
      <c r="R110" s="265">
        <f t="shared" si="22"/>
        <v>60000</v>
      </c>
    </row>
    <row r="111" spans="1:18" ht="24" x14ac:dyDescent="0.2">
      <c r="A111" s="235" t="s">
        <v>318</v>
      </c>
      <c r="B111" s="211" t="s">
        <v>319</v>
      </c>
      <c r="C111" s="211" t="s">
        <v>320</v>
      </c>
      <c r="D111" s="229" t="s">
        <v>582</v>
      </c>
      <c r="E111" s="228">
        <v>7000</v>
      </c>
      <c r="F111" s="230" t="s">
        <v>583</v>
      </c>
      <c r="G111" s="215" t="s">
        <v>584</v>
      </c>
      <c r="H111" s="216" t="s">
        <v>585</v>
      </c>
      <c r="I111" s="217" t="s">
        <v>330</v>
      </c>
      <c r="J111" s="218" t="s">
        <v>331</v>
      </c>
      <c r="K111" s="219">
        <v>1</v>
      </c>
      <c r="L111" s="220" t="s">
        <v>581</v>
      </c>
      <c r="M111" s="221">
        <f>65*233.33</f>
        <v>15166.45</v>
      </c>
      <c r="N111" s="231">
        <v>1</v>
      </c>
      <c r="O111" s="232" t="s">
        <v>327</v>
      </c>
      <c r="P111" s="221">
        <f>+E111*6</f>
        <v>42000</v>
      </c>
      <c r="Q111" s="231">
        <v>2</v>
      </c>
      <c r="R111" s="265">
        <f t="shared" si="22"/>
        <v>84000</v>
      </c>
    </row>
    <row r="112" spans="1:18" ht="24" x14ac:dyDescent="0.2">
      <c r="A112" s="235" t="s">
        <v>318</v>
      </c>
      <c r="B112" s="211" t="s">
        <v>319</v>
      </c>
      <c r="C112" s="211" t="s">
        <v>320</v>
      </c>
      <c r="D112" s="229" t="s">
        <v>343</v>
      </c>
      <c r="E112" s="228">
        <v>4700</v>
      </c>
      <c r="F112" s="230" t="s">
        <v>586</v>
      </c>
      <c r="G112" s="215" t="s">
        <v>587</v>
      </c>
      <c r="H112" s="216" t="s">
        <v>588</v>
      </c>
      <c r="I112" s="217" t="s">
        <v>589</v>
      </c>
      <c r="J112" s="218" t="s">
        <v>331</v>
      </c>
      <c r="K112" s="219">
        <v>1</v>
      </c>
      <c r="L112" s="220" t="s">
        <v>576</v>
      </c>
      <c r="M112" s="221">
        <f>58*156.67</f>
        <v>9086.8599999999988</v>
      </c>
      <c r="N112" s="231">
        <v>1</v>
      </c>
      <c r="O112" s="232" t="s">
        <v>327</v>
      </c>
      <c r="P112" s="221">
        <f>+E112*6</f>
        <v>28200</v>
      </c>
      <c r="Q112" s="231">
        <v>2</v>
      </c>
      <c r="R112" s="265">
        <f t="shared" si="22"/>
        <v>56400</v>
      </c>
    </row>
    <row r="113" spans="1:18" ht="24" x14ac:dyDescent="0.2">
      <c r="A113" s="235" t="s">
        <v>318</v>
      </c>
      <c r="B113" s="211" t="s">
        <v>319</v>
      </c>
      <c r="C113" s="211" t="s">
        <v>320</v>
      </c>
      <c r="D113" s="229" t="s">
        <v>577</v>
      </c>
      <c r="E113" s="228">
        <v>5000</v>
      </c>
      <c r="F113" s="230" t="s">
        <v>590</v>
      </c>
      <c r="G113" s="215" t="s">
        <v>591</v>
      </c>
      <c r="H113" s="216" t="s">
        <v>592</v>
      </c>
      <c r="I113" s="217" t="s">
        <v>593</v>
      </c>
      <c r="J113" s="218" t="s">
        <v>331</v>
      </c>
      <c r="K113" s="219">
        <v>1</v>
      </c>
      <c r="L113" s="220" t="s">
        <v>576</v>
      </c>
      <c r="M113" s="221">
        <f>58*166.67</f>
        <v>9666.8599999999988</v>
      </c>
      <c r="N113" s="231">
        <v>1</v>
      </c>
      <c r="O113" s="232" t="s">
        <v>327</v>
      </c>
      <c r="P113" s="221">
        <f>+E113*6</f>
        <v>30000</v>
      </c>
      <c r="Q113" s="231">
        <v>2</v>
      </c>
      <c r="R113" s="265">
        <f t="shared" si="22"/>
        <v>60000</v>
      </c>
    </row>
    <row r="114" spans="1:18" ht="24" x14ac:dyDescent="0.2">
      <c r="A114" s="235" t="s">
        <v>318</v>
      </c>
      <c r="B114" s="211" t="s">
        <v>319</v>
      </c>
      <c r="C114" s="211" t="s">
        <v>320</v>
      </c>
      <c r="D114" s="229" t="s">
        <v>323</v>
      </c>
      <c r="E114" s="228">
        <v>4000</v>
      </c>
      <c r="F114" s="230" t="s">
        <v>594</v>
      </c>
      <c r="G114" s="215" t="s">
        <v>595</v>
      </c>
      <c r="H114" s="216" t="s">
        <v>323</v>
      </c>
      <c r="I114" s="217" t="s">
        <v>330</v>
      </c>
      <c r="J114" s="218" t="s">
        <v>331</v>
      </c>
      <c r="K114" s="219">
        <v>1</v>
      </c>
      <c r="L114" s="220" t="s">
        <v>581</v>
      </c>
      <c r="M114" s="221">
        <f>65*133.33</f>
        <v>8666.4500000000007</v>
      </c>
      <c r="N114" s="231">
        <v>1</v>
      </c>
      <c r="O114" s="232" t="s">
        <v>327</v>
      </c>
      <c r="P114" s="221">
        <f>+E114*6</f>
        <v>24000</v>
      </c>
      <c r="Q114" s="231">
        <v>2</v>
      </c>
      <c r="R114" s="265">
        <f t="shared" si="22"/>
        <v>48000</v>
      </c>
    </row>
    <row r="115" spans="1:18" ht="24" x14ac:dyDescent="0.2">
      <c r="A115" s="240" t="s">
        <v>318</v>
      </c>
      <c r="B115" s="241" t="s">
        <v>319</v>
      </c>
      <c r="C115" s="241" t="s">
        <v>320</v>
      </c>
      <c r="D115" s="242" t="s">
        <v>596</v>
      </c>
      <c r="E115" s="243">
        <v>5000</v>
      </c>
      <c r="F115" s="277" t="s">
        <v>594</v>
      </c>
      <c r="G115" s="244" t="s">
        <v>597</v>
      </c>
      <c r="H115" s="278" t="s">
        <v>598</v>
      </c>
      <c r="I115" s="245" t="s">
        <v>330</v>
      </c>
      <c r="J115" s="279" t="s">
        <v>331</v>
      </c>
      <c r="K115" s="280">
        <v>1</v>
      </c>
      <c r="L115" s="281" t="s">
        <v>599</v>
      </c>
      <c r="M115" s="282">
        <f>63*166.67</f>
        <v>10500.21</v>
      </c>
      <c r="N115" s="283">
        <v>1</v>
      </c>
      <c r="O115" s="284" t="s">
        <v>600</v>
      </c>
      <c r="P115" s="282">
        <f>166.67*108</f>
        <v>18000.359999999997</v>
      </c>
      <c r="Q115" s="231"/>
      <c r="R115" s="265"/>
    </row>
    <row r="116" spans="1:18" ht="24.75" thickBot="1" x14ac:dyDescent="0.25">
      <c r="A116" s="246" t="s">
        <v>318</v>
      </c>
      <c r="B116" s="247" t="s">
        <v>319</v>
      </c>
      <c r="C116" s="247" t="s">
        <v>320</v>
      </c>
      <c r="D116" s="248" t="s">
        <v>596</v>
      </c>
      <c r="E116" s="249">
        <v>5000</v>
      </c>
      <c r="F116" s="285" t="s">
        <v>594</v>
      </c>
      <c r="G116" s="250" t="s">
        <v>597</v>
      </c>
      <c r="H116" s="286" t="s">
        <v>598</v>
      </c>
      <c r="I116" s="251" t="s">
        <v>330</v>
      </c>
      <c r="J116" s="287" t="s">
        <v>331</v>
      </c>
      <c r="K116" s="288"/>
      <c r="L116" s="289"/>
      <c r="M116" s="290"/>
      <c r="N116" s="291"/>
      <c r="O116" s="292"/>
      <c r="P116" s="290"/>
      <c r="Q116" s="293">
        <v>2</v>
      </c>
      <c r="R116" s="294">
        <f t="shared" si="22"/>
        <v>60000</v>
      </c>
    </row>
    <row r="117" spans="1:18" x14ac:dyDescent="0.2">
      <c r="A117" s="22" t="s">
        <v>195</v>
      </c>
      <c r="B117" s="120"/>
      <c r="C117" s="120"/>
      <c r="D117" s="120"/>
      <c r="E117" s="121"/>
      <c r="F117" s="122"/>
      <c r="G117" s="123"/>
      <c r="H117" s="124"/>
      <c r="I117" s="125"/>
      <c r="J117" s="124"/>
      <c r="K117" s="126"/>
      <c r="L117" s="17"/>
    </row>
    <row r="118" spans="1:18" x14ac:dyDescent="0.2">
      <c r="A118" s="22" t="s">
        <v>220</v>
      </c>
      <c r="B118" s="127"/>
      <c r="C118" s="127"/>
      <c r="D118" s="127"/>
      <c r="E118" s="127"/>
      <c r="F118" s="128"/>
      <c r="G118" s="127"/>
      <c r="H118" s="127"/>
      <c r="I118" s="128"/>
      <c r="J118" s="127"/>
      <c r="K118" s="17"/>
      <c r="L118" s="17"/>
    </row>
  </sheetData>
  <mergeCells count="8">
    <mergeCell ref="A2:R2"/>
    <mergeCell ref="A3:B3"/>
    <mergeCell ref="C3:R3"/>
    <mergeCell ref="A4:E4"/>
    <mergeCell ref="F4:J4"/>
    <mergeCell ref="K4:M4"/>
    <mergeCell ref="N4:P4"/>
    <mergeCell ref="Q4:R4"/>
  </mergeCells>
  <pageMargins left="0.11811023622047245" right="0" top="0.15748031496062992" bottom="0" header="0.31496062992125984" footer="0.31496062992125984"/>
  <pageSetup paperSize="9" scale="55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1"/>
  <sheetViews>
    <sheetView workbookViewId="0">
      <selection activeCell="B20" sqref="B20"/>
    </sheetView>
  </sheetViews>
  <sheetFormatPr baseColWidth="10" defaultColWidth="11.42578125" defaultRowHeight="12" x14ac:dyDescent="0.2"/>
  <cols>
    <col min="1" max="1" width="37.85546875" style="26" customWidth="1"/>
    <col min="2" max="2" width="23.140625" style="26" customWidth="1"/>
    <col min="3" max="3" width="32" style="26" customWidth="1"/>
    <col min="4" max="4" width="14.140625" style="26" customWidth="1"/>
    <col min="5" max="5" width="11.85546875" style="26" customWidth="1"/>
    <col min="6" max="6" width="10.140625" style="26" customWidth="1"/>
    <col min="7" max="7" width="13.140625" style="26" customWidth="1"/>
    <col min="8" max="8" width="38.140625" style="26" customWidth="1"/>
    <col min="9" max="16384" width="11.42578125" style="26"/>
  </cols>
  <sheetData>
    <row r="1" spans="1:8" ht="15.75" x14ac:dyDescent="0.25">
      <c r="A1" s="409" t="s">
        <v>211</v>
      </c>
      <c r="B1" s="409"/>
      <c r="C1" s="409"/>
      <c r="D1" s="409"/>
      <c r="E1" s="409"/>
      <c r="F1" s="409"/>
      <c r="G1" s="409"/>
      <c r="H1" s="409"/>
    </row>
    <row r="2" spans="1:8" ht="15.75" x14ac:dyDescent="0.2">
      <c r="A2" s="91" t="s">
        <v>617</v>
      </c>
      <c r="B2" s="410"/>
      <c r="C2" s="410"/>
      <c r="D2" s="410"/>
      <c r="E2" s="410"/>
      <c r="F2" s="410"/>
      <c r="G2" s="410"/>
      <c r="H2" s="410"/>
    </row>
    <row r="3" spans="1:8" x14ac:dyDescent="0.2">
      <c r="A3" s="411" t="s">
        <v>190</v>
      </c>
      <c r="B3" s="411" t="s">
        <v>99</v>
      </c>
      <c r="C3" s="413" t="s">
        <v>189</v>
      </c>
      <c r="D3" s="413"/>
      <c r="E3" s="413"/>
      <c r="F3" s="413"/>
      <c r="G3" s="413"/>
      <c r="H3" s="413"/>
    </row>
    <row r="4" spans="1:8" ht="24" x14ac:dyDescent="0.2">
      <c r="A4" s="412"/>
      <c r="B4" s="412"/>
      <c r="C4" s="92" t="s">
        <v>100</v>
      </c>
      <c r="D4" s="92" t="s">
        <v>188</v>
      </c>
      <c r="E4" s="85" t="s">
        <v>101</v>
      </c>
      <c r="F4" s="92" t="s">
        <v>102</v>
      </c>
      <c r="G4" s="92" t="s">
        <v>103</v>
      </c>
      <c r="H4" s="92" t="s">
        <v>191</v>
      </c>
    </row>
    <row r="5" spans="1:8" x14ac:dyDescent="0.2">
      <c r="A5" s="88" t="s">
        <v>67</v>
      </c>
      <c r="B5" s="88"/>
      <c r="C5" s="89"/>
      <c r="D5" s="89"/>
      <c r="E5" s="89"/>
      <c r="F5" s="89"/>
      <c r="G5" s="89"/>
      <c r="H5" s="89"/>
    </row>
    <row r="6" spans="1:8" x14ac:dyDescent="0.2">
      <c r="A6" s="88"/>
      <c r="B6" s="88"/>
      <c r="C6" s="89"/>
      <c r="D6" s="89"/>
      <c r="E6" s="89"/>
      <c r="F6" s="89"/>
      <c r="G6" s="89"/>
      <c r="H6" s="89"/>
    </row>
    <row r="7" spans="1:8" x14ac:dyDescent="0.2">
      <c r="A7" s="88" t="s">
        <v>68</v>
      </c>
      <c r="B7" s="88" t="s">
        <v>225</v>
      </c>
      <c r="C7" s="116" t="s">
        <v>315</v>
      </c>
      <c r="D7" s="116" t="s">
        <v>316</v>
      </c>
      <c r="E7" s="117">
        <v>2003</v>
      </c>
      <c r="F7" s="116" t="s">
        <v>317</v>
      </c>
      <c r="G7" s="164">
        <v>155520.13</v>
      </c>
      <c r="H7" s="118">
        <v>200168.44</v>
      </c>
    </row>
    <row r="8" spans="1:8" x14ac:dyDescent="0.2">
      <c r="A8" s="88"/>
      <c r="B8" s="88"/>
      <c r="C8" s="89"/>
      <c r="D8" s="89"/>
      <c r="E8" s="89"/>
      <c r="F8" s="89"/>
      <c r="G8" s="89"/>
      <c r="H8" s="89"/>
    </row>
    <row r="9" spans="1:8" x14ac:dyDescent="0.2">
      <c r="A9" s="86" t="s">
        <v>9</v>
      </c>
      <c r="B9" s="86"/>
      <c r="C9" s="87"/>
      <c r="D9" s="87"/>
      <c r="E9" s="87"/>
      <c r="F9" s="87"/>
      <c r="G9" s="119">
        <f>SUM(G7:G8)</f>
        <v>155520.13</v>
      </c>
      <c r="H9" s="119">
        <f>SUM(H7:H8)</f>
        <v>200168.44</v>
      </c>
    </row>
    <row r="10" spans="1:8" x14ac:dyDescent="0.2">
      <c r="A10" s="66" t="s">
        <v>104</v>
      </c>
    </row>
    <row r="11" spans="1:8" x14ac:dyDescent="0.2">
      <c r="A11" s="66" t="s">
        <v>192</v>
      </c>
    </row>
  </sheetData>
  <mergeCells count="5">
    <mergeCell ref="A1:H1"/>
    <mergeCell ref="B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3"/>
  <sheetViews>
    <sheetView workbookViewId="0">
      <selection activeCell="A2" sqref="A2"/>
    </sheetView>
  </sheetViews>
  <sheetFormatPr baseColWidth="10" defaultColWidth="11.42578125" defaultRowHeight="11.25" x14ac:dyDescent="0.2"/>
  <cols>
    <col min="1" max="1" width="36.85546875" style="4" customWidth="1"/>
    <col min="2" max="2" width="23.85546875" style="4" customWidth="1"/>
    <col min="3" max="3" width="7.42578125" style="4" customWidth="1"/>
    <col min="4" max="4" width="11.42578125" style="4" customWidth="1"/>
    <col min="5" max="5" width="10.5703125" style="4" customWidth="1"/>
    <col min="6" max="6" width="11.140625" style="4" customWidth="1"/>
    <col min="7" max="7" width="10.140625" style="4" customWidth="1"/>
    <col min="8" max="8" width="9.85546875" style="4" customWidth="1"/>
    <col min="9" max="9" width="11.140625" style="4" customWidth="1"/>
    <col min="10" max="11" width="8.42578125" style="4" customWidth="1"/>
    <col min="12" max="12" width="9.85546875" style="4" customWidth="1"/>
    <col min="13" max="13" width="8.42578125" style="4" customWidth="1"/>
    <col min="14" max="14" width="9.5703125" style="4" customWidth="1"/>
    <col min="15" max="15" width="7.85546875" style="4" customWidth="1"/>
    <col min="16" max="16" width="8.140625" style="4" customWidth="1"/>
    <col min="17" max="17" width="12" style="4" customWidth="1"/>
    <col min="18" max="18" width="7.5703125" style="4" customWidth="1"/>
    <col min="19" max="16384" width="11.42578125" style="4"/>
  </cols>
  <sheetData>
    <row r="1" spans="1:23" ht="38.25" customHeight="1" x14ac:dyDescent="0.2">
      <c r="A1" s="325" t="s">
        <v>202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7"/>
    </row>
    <row r="2" spans="1:23" ht="22.7" customHeight="1" x14ac:dyDescent="0.2">
      <c r="A2" s="166" t="s">
        <v>617</v>
      </c>
      <c r="B2" s="322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  <c r="S2" s="5"/>
      <c r="T2" s="5"/>
      <c r="U2" s="5"/>
      <c r="V2" s="5"/>
      <c r="W2" s="5"/>
    </row>
    <row r="3" spans="1:23" s="6" customFormat="1" ht="54" customHeight="1" x14ac:dyDescent="0.25">
      <c r="A3" s="328" t="s">
        <v>5</v>
      </c>
      <c r="B3" s="330" t="s">
        <v>26</v>
      </c>
      <c r="C3" s="332" t="s">
        <v>6</v>
      </c>
      <c r="D3" s="333"/>
      <c r="E3" s="333"/>
      <c r="F3" s="333"/>
      <c r="G3" s="333"/>
      <c r="H3" s="333"/>
      <c r="I3" s="334"/>
      <c r="J3" s="335" t="s">
        <v>7</v>
      </c>
      <c r="K3" s="333"/>
      <c r="L3" s="333"/>
      <c r="M3" s="333"/>
      <c r="N3" s="336"/>
      <c r="O3" s="337" t="s">
        <v>8</v>
      </c>
      <c r="P3" s="338"/>
      <c r="Q3" s="337" t="s">
        <v>9</v>
      </c>
      <c r="R3" s="339"/>
    </row>
    <row r="4" spans="1:23" s="7" customFormat="1" ht="148.5" x14ac:dyDescent="0.2">
      <c r="A4" s="329"/>
      <c r="B4" s="331"/>
      <c r="C4" s="167" t="s">
        <v>10</v>
      </c>
      <c r="D4" s="167" t="s">
        <v>11</v>
      </c>
      <c r="E4" s="167" t="s">
        <v>12</v>
      </c>
      <c r="F4" s="168" t="s">
        <v>13</v>
      </c>
      <c r="G4" s="169" t="s">
        <v>14</v>
      </c>
      <c r="H4" s="168" t="s">
        <v>15</v>
      </c>
      <c r="I4" s="169" t="s">
        <v>16</v>
      </c>
      <c r="J4" s="170" t="s">
        <v>17</v>
      </c>
      <c r="K4" s="171" t="s">
        <v>18</v>
      </c>
      <c r="L4" s="171" t="s">
        <v>19</v>
      </c>
      <c r="M4" s="167" t="s">
        <v>20</v>
      </c>
      <c r="N4" s="167" t="s">
        <v>21</v>
      </c>
      <c r="O4" s="168" t="s">
        <v>22</v>
      </c>
      <c r="P4" s="172" t="s">
        <v>23</v>
      </c>
      <c r="Q4" s="168" t="s">
        <v>24</v>
      </c>
      <c r="R4" s="173" t="s">
        <v>25</v>
      </c>
    </row>
    <row r="5" spans="1:23" ht="42.6" customHeight="1" x14ac:dyDescent="0.2">
      <c r="A5" s="130" t="s">
        <v>225</v>
      </c>
      <c r="B5" s="130" t="s">
        <v>226</v>
      </c>
      <c r="C5" s="165"/>
      <c r="D5" s="94">
        <v>28851925</v>
      </c>
      <c r="E5" s="94">
        <v>3142113</v>
      </c>
      <c r="F5" s="94">
        <v>10103005</v>
      </c>
      <c r="G5" s="94">
        <v>131571</v>
      </c>
      <c r="H5" s="94">
        <v>327869</v>
      </c>
      <c r="I5" s="94">
        <f>SUM(D5:H5)</f>
        <v>42556483</v>
      </c>
      <c r="J5" s="94"/>
      <c r="K5" s="94"/>
      <c r="L5" s="94">
        <v>133000</v>
      </c>
      <c r="M5" s="94"/>
      <c r="N5" s="94">
        <f>SUM(J5:M5)</f>
        <v>133000</v>
      </c>
      <c r="O5" s="94"/>
      <c r="P5" s="94"/>
      <c r="Q5" s="94">
        <f>I5+N5</f>
        <v>42689483</v>
      </c>
      <c r="R5" s="131">
        <v>1</v>
      </c>
    </row>
    <row r="6" spans="1:23" ht="22.5" customHeight="1" x14ac:dyDescent="0.2">
      <c r="A6" s="132" t="s">
        <v>34</v>
      </c>
      <c r="B6" s="132"/>
      <c r="C6" s="133"/>
      <c r="D6" s="133">
        <f>D5</f>
        <v>28851925</v>
      </c>
      <c r="E6" s="133">
        <f t="shared" ref="E6:R6" si="0">E5</f>
        <v>3142113</v>
      </c>
      <c r="F6" s="133">
        <f t="shared" si="0"/>
        <v>10103005</v>
      </c>
      <c r="G6" s="133">
        <f t="shared" si="0"/>
        <v>131571</v>
      </c>
      <c r="H6" s="133">
        <f t="shared" si="0"/>
        <v>327869</v>
      </c>
      <c r="I6" s="133">
        <f t="shared" si="0"/>
        <v>42556483</v>
      </c>
      <c r="J6" s="133">
        <f t="shared" si="0"/>
        <v>0</v>
      </c>
      <c r="K6" s="133">
        <f t="shared" si="0"/>
        <v>0</v>
      </c>
      <c r="L6" s="133">
        <f t="shared" si="0"/>
        <v>133000</v>
      </c>
      <c r="M6" s="133">
        <f t="shared" si="0"/>
        <v>0</v>
      </c>
      <c r="N6" s="133">
        <f t="shared" si="0"/>
        <v>133000</v>
      </c>
      <c r="O6" s="133">
        <f t="shared" si="0"/>
        <v>0</v>
      </c>
      <c r="P6" s="133">
        <f t="shared" si="0"/>
        <v>0</v>
      </c>
      <c r="Q6" s="133">
        <f t="shared" si="0"/>
        <v>42689483</v>
      </c>
      <c r="R6" s="134">
        <f t="shared" si="0"/>
        <v>1</v>
      </c>
    </row>
    <row r="7" spans="1:23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13" spans="1:23" x14ac:dyDescent="0.2">
      <c r="C13" s="135"/>
    </row>
  </sheetData>
  <mergeCells count="8">
    <mergeCell ref="B2:R2"/>
    <mergeCell ref="A1:R1"/>
    <mergeCell ref="A3:A4"/>
    <mergeCell ref="B3:B4"/>
    <mergeCell ref="C3:I3"/>
    <mergeCell ref="J3:N3"/>
    <mergeCell ref="O3:P3"/>
    <mergeCell ref="Q3:R3"/>
  </mergeCells>
  <pageMargins left="0.31496062992125984" right="0" top="0.74803149606299213" bottom="0.74803149606299213" header="0.31496062992125984" footer="0.31496062992125984"/>
  <pageSetup paperSize="9" scale="6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"/>
  <sheetViews>
    <sheetView workbookViewId="0">
      <selection activeCell="A2" sqref="A2"/>
    </sheetView>
  </sheetViews>
  <sheetFormatPr baseColWidth="10" defaultColWidth="11.42578125" defaultRowHeight="11.25" x14ac:dyDescent="0.2"/>
  <cols>
    <col min="1" max="1" width="37.42578125" style="4" customWidth="1"/>
    <col min="2" max="2" width="7.5703125" style="4" customWidth="1"/>
    <col min="3" max="3" width="9.42578125" style="4" customWidth="1"/>
    <col min="4" max="4" width="9.85546875" style="4" customWidth="1"/>
    <col min="5" max="5" width="10.140625" style="4" customWidth="1"/>
    <col min="6" max="6" width="8.140625" style="4" customWidth="1"/>
    <col min="7" max="7" width="8.5703125" style="4" customWidth="1"/>
    <col min="8" max="8" width="9.85546875" style="4" customWidth="1"/>
    <col min="9" max="9" width="6.5703125" style="4" customWidth="1"/>
    <col min="10" max="10" width="7.140625" style="4" customWidth="1"/>
    <col min="11" max="11" width="8.5703125" style="4" customWidth="1"/>
    <col min="12" max="12" width="6.42578125" style="4" customWidth="1"/>
    <col min="13" max="13" width="8.140625" style="4" customWidth="1"/>
    <col min="14" max="14" width="14" style="4" customWidth="1"/>
    <col min="15" max="15" width="9.5703125" style="4" customWidth="1"/>
    <col min="16" max="16" width="8.140625" style="4" customWidth="1"/>
    <col min="17" max="16384" width="11.42578125" style="4"/>
  </cols>
  <sheetData>
    <row r="1" spans="1:21" ht="28.5" customHeight="1" x14ac:dyDescent="0.2">
      <c r="A1" s="340" t="s">
        <v>203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21" ht="20.45" customHeight="1" x14ac:dyDescent="0.2">
      <c r="A2" s="91" t="s">
        <v>617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5"/>
      <c r="R2" s="5"/>
      <c r="S2" s="5"/>
      <c r="T2" s="5"/>
      <c r="U2" s="5"/>
    </row>
    <row r="3" spans="1:21" ht="30.75" customHeight="1" x14ac:dyDescent="0.2">
      <c r="A3" s="342" t="s">
        <v>52</v>
      </c>
      <c r="B3" s="344" t="s">
        <v>135</v>
      </c>
      <c r="C3" s="344"/>
      <c r="D3" s="344"/>
      <c r="E3" s="344"/>
      <c r="F3" s="344"/>
      <c r="G3" s="344"/>
      <c r="H3" s="344"/>
      <c r="I3" s="344" t="s">
        <v>134</v>
      </c>
      <c r="J3" s="344"/>
      <c r="K3" s="344"/>
      <c r="L3" s="344"/>
      <c r="M3" s="344"/>
      <c r="N3" s="174" t="s">
        <v>136</v>
      </c>
      <c r="O3" s="344" t="s">
        <v>9</v>
      </c>
      <c r="P3" s="344"/>
    </row>
    <row r="4" spans="1:21" s="16" customFormat="1" ht="104.45" customHeight="1" x14ac:dyDescent="0.25">
      <c r="A4" s="343"/>
      <c r="B4" s="76" t="s">
        <v>53</v>
      </c>
      <c r="C4" s="76" t="s">
        <v>54</v>
      </c>
      <c r="D4" s="76" t="s">
        <v>55</v>
      </c>
      <c r="E4" s="76" t="s">
        <v>56</v>
      </c>
      <c r="F4" s="76" t="s">
        <v>57</v>
      </c>
      <c r="G4" s="76" t="s">
        <v>58</v>
      </c>
      <c r="H4" s="76" t="s">
        <v>59</v>
      </c>
      <c r="I4" s="76" t="s">
        <v>60</v>
      </c>
      <c r="J4" s="76" t="s">
        <v>58</v>
      </c>
      <c r="K4" s="76" t="s">
        <v>61</v>
      </c>
      <c r="L4" s="76" t="s">
        <v>62</v>
      </c>
      <c r="M4" s="76" t="s">
        <v>63</v>
      </c>
      <c r="N4" s="76" t="s">
        <v>64</v>
      </c>
      <c r="O4" s="76" t="s">
        <v>65</v>
      </c>
      <c r="P4" s="76" t="s">
        <v>66</v>
      </c>
    </row>
    <row r="5" spans="1:21" x14ac:dyDescent="0.2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7"/>
    </row>
    <row r="6" spans="1:21" ht="21.75" customHeight="1" x14ac:dyDescent="0.2">
      <c r="A6" s="140" t="s">
        <v>67</v>
      </c>
      <c r="B6" s="136"/>
      <c r="C6" s="136">
        <f>'FMTO 02'!D5</f>
        <v>28851925</v>
      </c>
      <c r="D6" s="136">
        <f>'FMTO 02'!E5</f>
        <v>3142113</v>
      </c>
      <c r="E6" s="136">
        <f>'FMTO 02'!F5</f>
        <v>10103005</v>
      </c>
      <c r="F6" s="136">
        <f>'FMTO 02'!G5</f>
        <v>131571</v>
      </c>
      <c r="G6" s="136">
        <f>'FMTO 02'!H5</f>
        <v>327869</v>
      </c>
      <c r="H6" s="136">
        <f>'FMTO 02'!I5</f>
        <v>42556483</v>
      </c>
      <c r="I6" s="136">
        <f>'FMTO 02'!J5</f>
        <v>0</v>
      </c>
      <c r="J6" s="136">
        <f>'FMTO 02'!K5</f>
        <v>0</v>
      </c>
      <c r="K6" s="136">
        <f>'FMTO 02'!L5</f>
        <v>133000</v>
      </c>
      <c r="L6" s="136">
        <f>'FMTO 02'!M5</f>
        <v>0</v>
      </c>
      <c r="M6" s="136">
        <f>'FMTO 02'!N5</f>
        <v>133000</v>
      </c>
      <c r="N6" s="136">
        <f>'FMTO 02'!O5</f>
        <v>0</v>
      </c>
      <c r="O6" s="136">
        <f>H6+M6</f>
        <v>42689483</v>
      </c>
      <c r="P6" s="137">
        <v>1</v>
      </c>
    </row>
    <row r="7" spans="1:21" ht="20.25" customHeight="1" x14ac:dyDescent="0.2">
      <c r="A7" s="140" t="s">
        <v>68</v>
      </c>
      <c r="B7" s="136"/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</row>
    <row r="8" spans="1:2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21" ht="19.5" customHeight="1" x14ac:dyDescent="0.2">
      <c r="A9" s="141" t="s">
        <v>9</v>
      </c>
      <c r="B9" s="144"/>
      <c r="C9" s="142">
        <f>C6</f>
        <v>28851925</v>
      </c>
      <c r="D9" s="142">
        <f t="shared" ref="D9:P9" si="0">D6</f>
        <v>3142113</v>
      </c>
      <c r="E9" s="142">
        <f t="shared" si="0"/>
        <v>10103005</v>
      </c>
      <c r="F9" s="142">
        <f t="shared" si="0"/>
        <v>131571</v>
      </c>
      <c r="G9" s="142">
        <f t="shared" si="0"/>
        <v>327869</v>
      </c>
      <c r="H9" s="142">
        <f t="shared" si="0"/>
        <v>42556483</v>
      </c>
      <c r="I9" s="142">
        <f t="shared" si="0"/>
        <v>0</v>
      </c>
      <c r="J9" s="142">
        <f t="shared" si="0"/>
        <v>0</v>
      </c>
      <c r="K9" s="142">
        <f t="shared" si="0"/>
        <v>133000</v>
      </c>
      <c r="L9" s="142">
        <f t="shared" si="0"/>
        <v>0</v>
      </c>
      <c r="M9" s="142">
        <f t="shared" si="0"/>
        <v>133000</v>
      </c>
      <c r="N9" s="142">
        <f t="shared" si="0"/>
        <v>0</v>
      </c>
      <c r="O9" s="142">
        <f t="shared" si="0"/>
        <v>42689483</v>
      </c>
      <c r="P9" s="143">
        <f t="shared" si="0"/>
        <v>1</v>
      </c>
    </row>
    <row r="10" spans="1:21" x14ac:dyDescent="0.2">
      <c r="A10" s="8"/>
    </row>
  </sheetData>
  <mergeCells count="6">
    <mergeCell ref="A1:P1"/>
    <mergeCell ref="B2:P2"/>
    <mergeCell ref="A3:A4"/>
    <mergeCell ref="B3:H3"/>
    <mergeCell ref="I3:M3"/>
    <mergeCell ref="O3:P3"/>
  </mergeCells>
  <pageMargins left="0.11811023622047245" right="0" top="0.74803149606299213" bottom="0.74803149606299213" header="0.31496062992125984" footer="0.31496062992125984"/>
  <pageSetup paperSize="9"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"/>
  <sheetViews>
    <sheetView workbookViewId="0">
      <selection activeCell="C4" sqref="C4"/>
    </sheetView>
  </sheetViews>
  <sheetFormatPr baseColWidth="10" defaultColWidth="11.42578125" defaultRowHeight="12" x14ac:dyDescent="0.2"/>
  <cols>
    <col min="1" max="1" width="37" style="17" customWidth="1"/>
    <col min="2" max="2" width="16.42578125" style="17" bestFit="1" customWidth="1"/>
    <col min="3" max="3" width="7.42578125" style="17" customWidth="1"/>
    <col min="4" max="4" width="12.5703125" style="17" customWidth="1"/>
    <col min="5" max="6" width="13.85546875" style="17" customWidth="1"/>
    <col min="7" max="8" width="11.85546875" style="17" customWidth="1"/>
    <col min="9" max="9" width="13.85546875" style="17" customWidth="1"/>
    <col min="10" max="10" width="7.5703125" style="17" customWidth="1"/>
    <col min="11" max="11" width="7.140625" style="17" customWidth="1"/>
    <col min="12" max="12" width="11.5703125" style="17" customWidth="1"/>
    <col min="13" max="13" width="8.85546875" style="17" customWidth="1"/>
    <col min="14" max="14" width="12.140625" style="17" customWidth="1"/>
    <col min="15" max="15" width="8.5703125" style="17" customWidth="1"/>
    <col min="16" max="16" width="8.85546875" style="17" customWidth="1"/>
    <col min="17" max="17" width="13.85546875" style="17" customWidth="1"/>
    <col min="18" max="18" width="8.42578125" style="17" customWidth="1"/>
    <col min="19" max="19" width="11.42578125" style="17"/>
    <col min="20" max="20" width="26" style="17" customWidth="1"/>
    <col min="21" max="16384" width="11.42578125" style="17"/>
  </cols>
  <sheetData>
    <row r="1" spans="1:22" ht="27" customHeight="1" x14ac:dyDescent="0.2">
      <c r="A1" s="345" t="s">
        <v>204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7"/>
    </row>
    <row r="2" spans="1:22" ht="20.25" customHeight="1" x14ac:dyDescent="0.2">
      <c r="A2" s="176" t="s">
        <v>617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9"/>
      <c r="S2" s="18"/>
      <c r="T2" s="18"/>
      <c r="U2" s="18"/>
      <c r="V2" s="18"/>
    </row>
    <row r="3" spans="1:22" ht="38.25" customHeight="1" x14ac:dyDescent="0.2">
      <c r="A3" s="354" t="s">
        <v>69</v>
      </c>
      <c r="B3" s="355" t="s">
        <v>70</v>
      </c>
      <c r="C3" s="356" t="s">
        <v>71</v>
      </c>
      <c r="D3" s="356"/>
      <c r="E3" s="356"/>
      <c r="F3" s="356"/>
      <c r="G3" s="356"/>
      <c r="H3" s="356"/>
      <c r="I3" s="356"/>
      <c r="J3" s="352" t="s">
        <v>7</v>
      </c>
      <c r="K3" s="352"/>
      <c r="L3" s="352"/>
      <c r="M3" s="352"/>
      <c r="N3" s="352"/>
      <c r="O3" s="352" t="s">
        <v>8</v>
      </c>
      <c r="P3" s="352"/>
      <c r="Q3" s="352" t="s">
        <v>9</v>
      </c>
      <c r="R3" s="353"/>
    </row>
    <row r="4" spans="1:22" ht="112.5" customHeight="1" thickBot="1" x14ac:dyDescent="0.25">
      <c r="A4" s="354"/>
      <c r="B4" s="355"/>
      <c r="C4" s="175" t="s">
        <v>72</v>
      </c>
      <c r="D4" s="175" t="s">
        <v>73</v>
      </c>
      <c r="E4" s="175" t="s">
        <v>74</v>
      </c>
      <c r="F4" s="175" t="s">
        <v>75</v>
      </c>
      <c r="G4" s="175" t="s">
        <v>76</v>
      </c>
      <c r="H4" s="175" t="s">
        <v>77</v>
      </c>
      <c r="I4" s="175" t="s">
        <v>16</v>
      </c>
      <c r="J4" s="175" t="s">
        <v>76</v>
      </c>
      <c r="K4" s="175" t="s">
        <v>77</v>
      </c>
      <c r="L4" s="175" t="s">
        <v>78</v>
      </c>
      <c r="M4" s="175" t="s">
        <v>79</v>
      </c>
      <c r="N4" s="175" t="s">
        <v>21</v>
      </c>
      <c r="O4" s="175" t="s">
        <v>80</v>
      </c>
      <c r="P4" s="175" t="s">
        <v>23</v>
      </c>
      <c r="Q4" s="175" t="s">
        <v>81</v>
      </c>
      <c r="R4" s="177" t="s">
        <v>25</v>
      </c>
    </row>
    <row r="5" spans="1:22" x14ac:dyDescent="0.2">
      <c r="A5" s="178" t="s">
        <v>82</v>
      </c>
      <c r="B5" s="145">
        <v>2021</v>
      </c>
      <c r="C5" s="146"/>
      <c r="D5" s="147">
        <v>29149045</v>
      </c>
      <c r="E5" s="147">
        <v>2798753</v>
      </c>
      <c r="F5" s="147">
        <v>12270178</v>
      </c>
      <c r="G5" s="147">
        <v>140300</v>
      </c>
      <c r="H5" s="147">
        <v>514838</v>
      </c>
      <c r="I5" s="148">
        <f>SUM(D5:H5)</f>
        <v>44873114</v>
      </c>
      <c r="J5" s="146"/>
      <c r="K5" s="147"/>
      <c r="L5" s="147">
        <v>1086500</v>
      </c>
      <c r="M5" s="147"/>
      <c r="N5" s="148">
        <f>SUM(J5:M5)</f>
        <v>1086500</v>
      </c>
      <c r="O5" s="149"/>
      <c r="P5" s="147"/>
      <c r="Q5" s="150">
        <f>I5+N5</f>
        <v>45959614</v>
      </c>
      <c r="R5" s="179"/>
    </row>
    <row r="6" spans="1:22" x14ac:dyDescent="0.2">
      <c r="A6" s="180"/>
      <c r="B6" s="151">
        <v>2022</v>
      </c>
      <c r="C6" s="152"/>
      <c r="D6" s="138">
        <v>29448951</v>
      </c>
      <c r="E6" s="138">
        <v>2714029</v>
      </c>
      <c r="F6" s="138">
        <v>11342367</v>
      </c>
      <c r="G6" s="138">
        <v>150000</v>
      </c>
      <c r="H6" s="138">
        <v>395489</v>
      </c>
      <c r="I6" s="153">
        <f>SUM(D6:H6)</f>
        <v>44050836</v>
      </c>
      <c r="J6" s="152"/>
      <c r="K6" s="138"/>
      <c r="L6" s="138">
        <v>0</v>
      </c>
      <c r="M6" s="138"/>
      <c r="N6" s="153">
        <f>SUM(J6:M6)</f>
        <v>0</v>
      </c>
      <c r="O6" s="154"/>
      <c r="P6" s="138"/>
      <c r="Q6" s="138">
        <f t="shared" ref="Q6:Q7" si="0">I6+N6</f>
        <v>44050836</v>
      </c>
      <c r="R6" s="181">
        <f>Q6/Q5</f>
        <v>0.95846836311549521</v>
      </c>
    </row>
    <row r="7" spans="1:22" x14ac:dyDescent="0.2">
      <c r="A7" s="180"/>
      <c r="B7" s="151">
        <v>2023</v>
      </c>
      <c r="C7" s="152"/>
      <c r="D7" s="138">
        <f>'FMTO 03'!C6</f>
        <v>28851925</v>
      </c>
      <c r="E7" s="138">
        <f>'FMTO 03'!D6</f>
        <v>3142113</v>
      </c>
      <c r="F7" s="138">
        <f>'FMTO 03'!E6</f>
        <v>10103005</v>
      </c>
      <c r="G7" s="138">
        <f>'FMTO 03'!F6</f>
        <v>131571</v>
      </c>
      <c r="H7" s="138">
        <f>'FMTO 03'!G6</f>
        <v>327869</v>
      </c>
      <c r="I7" s="155">
        <f>'FMTO 03'!H6</f>
        <v>42556483</v>
      </c>
      <c r="J7" s="152">
        <f>'FMTO 03'!I6</f>
        <v>0</v>
      </c>
      <c r="K7" s="138">
        <f>'FMTO 03'!J6</f>
        <v>0</v>
      </c>
      <c r="L7" s="138">
        <f>'FMTO 03'!K6</f>
        <v>133000</v>
      </c>
      <c r="M7" s="138">
        <f>'FMTO 03'!L6</f>
        <v>0</v>
      </c>
      <c r="N7" s="155">
        <f>'FMTO 03'!M6</f>
        <v>133000</v>
      </c>
      <c r="O7" s="154"/>
      <c r="P7" s="138"/>
      <c r="Q7" s="156">
        <f t="shared" si="0"/>
        <v>42689483</v>
      </c>
      <c r="R7" s="181">
        <f>Q7/Q6</f>
        <v>0.96909586460515751</v>
      </c>
    </row>
    <row r="8" spans="1:22" ht="12.75" thickBot="1" x14ac:dyDescent="0.25">
      <c r="A8" s="182"/>
      <c r="B8" s="157" t="s">
        <v>137</v>
      </c>
      <c r="C8" s="158"/>
      <c r="D8" s="159">
        <f t="shared" ref="D8:I8" si="1">-(D6-D7)/D7</f>
        <v>-2.06927614015356E-2</v>
      </c>
      <c r="E8" s="159">
        <f t="shared" si="1"/>
        <v>0.13624080356117046</v>
      </c>
      <c r="F8" s="159">
        <f t="shared" si="1"/>
        <v>-0.12267261077273543</v>
      </c>
      <c r="G8" s="159">
        <f t="shared" si="1"/>
        <v>-0.14006886015915362</v>
      </c>
      <c r="H8" s="159">
        <f t="shared" si="1"/>
        <v>-0.20624090719159177</v>
      </c>
      <c r="I8" s="160">
        <f t="shared" si="1"/>
        <v>-3.5114579369728463E-2</v>
      </c>
      <c r="J8" s="158">
        <f t="shared" ref="J8:P8" si="2">J6-J7</f>
        <v>0</v>
      </c>
      <c r="K8" s="161">
        <f t="shared" si="2"/>
        <v>0</v>
      </c>
      <c r="L8" s="159">
        <f>-(L6-L7)/L7</f>
        <v>1</v>
      </c>
      <c r="M8" s="161">
        <f t="shared" si="2"/>
        <v>0</v>
      </c>
      <c r="N8" s="160">
        <f>-(N6-N7)/N7</f>
        <v>1</v>
      </c>
      <c r="O8" s="162">
        <f t="shared" si="2"/>
        <v>0</v>
      </c>
      <c r="P8" s="161">
        <f t="shared" si="2"/>
        <v>0</v>
      </c>
      <c r="Q8" s="159">
        <f>-(Q6-Q7)/Q7</f>
        <v>-3.188965769391023E-2</v>
      </c>
      <c r="R8" s="183"/>
    </row>
    <row r="9" spans="1:22" ht="24.75" customHeight="1" x14ac:dyDescent="0.2">
      <c r="A9" s="350" t="s">
        <v>34</v>
      </c>
      <c r="B9" s="59">
        <v>2021</v>
      </c>
      <c r="C9" s="93"/>
      <c r="D9" s="95">
        <f>D5</f>
        <v>29149045</v>
      </c>
      <c r="E9" s="95">
        <f t="shared" ref="E9:R9" si="3">E5</f>
        <v>2798753</v>
      </c>
      <c r="F9" s="95">
        <f t="shared" si="3"/>
        <v>12270178</v>
      </c>
      <c r="G9" s="95">
        <f t="shared" si="3"/>
        <v>140300</v>
      </c>
      <c r="H9" s="95">
        <f t="shared" si="3"/>
        <v>514838</v>
      </c>
      <c r="I9" s="95">
        <f t="shared" si="3"/>
        <v>44873114</v>
      </c>
      <c r="J9" s="95">
        <f t="shared" si="3"/>
        <v>0</v>
      </c>
      <c r="K9" s="95">
        <f t="shared" si="3"/>
        <v>0</v>
      </c>
      <c r="L9" s="95">
        <f t="shared" si="3"/>
        <v>1086500</v>
      </c>
      <c r="M9" s="95">
        <f t="shared" si="3"/>
        <v>0</v>
      </c>
      <c r="N9" s="95">
        <f t="shared" si="3"/>
        <v>1086500</v>
      </c>
      <c r="O9" s="95">
        <f t="shared" si="3"/>
        <v>0</v>
      </c>
      <c r="P9" s="95">
        <f t="shared" si="3"/>
        <v>0</v>
      </c>
      <c r="Q9" s="95">
        <f t="shared" si="3"/>
        <v>45959614</v>
      </c>
      <c r="R9" s="184">
        <f t="shared" si="3"/>
        <v>0</v>
      </c>
    </row>
    <row r="10" spans="1:22" ht="21" customHeight="1" x14ac:dyDescent="0.2">
      <c r="A10" s="350"/>
      <c r="B10" s="59">
        <v>2022</v>
      </c>
      <c r="C10" s="40"/>
      <c r="D10" s="95">
        <f>D6</f>
        <v>29448951</v>
      </c>
      <c r="E10" s="95">
        <f t="shared" ref="E10:R10" si="4">E6</f>
        <v>2714029</v>
      </c>
      <c r="F10" s="95">
        <f t="shared" si="4"/>
        <v>11342367</v>
      </c>
      <c r="G10" s="95">
        <f t="shared" si="4"/>
        <v>150000</v>
      </c>
      <c r="H10" s="95">
        <f t="shared" si="4"/>
        <v>395489</v>
      </c>
      <c r="I10" s="95">
        <f t="shared" si="4"/>
        <v>44050836</v>
      </c>
      <c r="J10" s="95">
        <f t="shared" si="4"/>
        <v>0</v>
      </c>
      <c r="K10" s="95">
        <f t="shared" si="4"/>
        <v>0</v>
      </c>
      <c r="L10" s="95">
        <f t="shared" si="4"/>
        <v>0</v>
      </c>
      <c r="M10" s="95">
        <f t="shared" si="4"/>
        <v>0</v>
      </c>
      <c r="N10" s="95">
        <f t="shared" si="4"/>
        <v>0</v>
      </c>
      <c r="O10" s="95">
        <f t="shared" si="4"/>
        <v>0</v>
      </c>
      <c r="P10" s="95">
        <f t="shared" si="4"/>
        <v>0</v>
      </c>
      <c r="Q10" s="95">
        <f t="shared" si="4"/>
        <v>44050836</v>
      </c>
      <c r="R10" s="184">
        <f t="shared" si="4"/>
        <v>0.95846836311549521</v>
      </c>
    </row>
    <row r="11" spans="1:22" ht="21" customHeight="1" x14ac:dyDescent="0.2">
      <c r="A11" s="350"/>
      <c r="B11" s="59">
        <v>2023</v>
      </c>
      <c r="C11" s="40"/>
      <c r="D11" s="95">
        <f>D7</f>
        <v>28851925</v>
      </c>
      <c r="E11" s="95">
        <f t="shared" ref="E11:R11" si="5">E7</f>
        <v>3142113</v>
      </c>
      <c r="F11" s="95">
        <f t="shared" si="5"/>
        <v>10103005</v>
      </c>
      <c r="G11" s="95">
        <f t="shared" si="5"/>
        <v>131571</v>
      </c>
      <c r="H11" s="95">
        <f t="shared" si="5"/>
        <v>327869</v>
      </c>
      <c r="I11" s="95">
        <f t="shared" si="5"/>
        <v>42556483</v>
      </c>
      <c r="J11" s="95">
        <f t="shared" si="5"/>
        <v>0</v>
      </c>
      <c r="K11" s="95">
        <f t="shared" si="5"/>
        <v>0</v>
      </c>
      <c r="L11" s="95">
        <f t="shared" si="5"/>
        <v>133000</v>
      </c>
      <c r="M11" s="95">
        <f t="shared" si="5"/>
        <v>0</v>
      </c>
      <c r="N11" s="95">
        <f t="shared" si="5"/>
        <v>133000</v>
      </c>
      <c r="O11" s="95">
        <f t="shared" si="5"/>
        <v>0</v>
      </c>
      <c r="P11" s="95">
        <f t="shared" si="5"/>
        <v>0</v>
      </c>
      <c r="Q11" s="95">
        <f t="shared" si="5"/>
        <v>42689483</v>
      </c>
      <c r="R11" s="184">
        <f t="shared" si="5"/>
        <v>0.96909586460515751</v>
      </c>
    </row>
    <row r="12" spans="1:22" ht="34.5" customHeight="1" x14ac:dyDescent="0.2">
      <c r="A12" s="351"/>
      <c r="B12" s="185" t="s">
        <v>224</v>
      </c>
      <c r="C12" s="186"/>
      <c r="D12" s="187">
        <f>D8</f>
        <v>-2.06927614015356E-2</v>
      </c>
      <c r="E12" s="187">
        <f t="shared" ref="E12:R12" si="6">E8</f>
        <v>0.13624080356117046</v>
      </c>
      <c r="F12" s="187">
        <f t="shared" si="6"/>
        <v>-0.12267261077273543</v>
      </c>
      <c r="G12" s="187">
        <f t="shared" si="6"/>
        <v>-0.14006886015915362</v>
      </c>
      <c r="H12" s="187">
        <f t="shared" si="6"/>
        <v>-0.20624090719159177</v>
      </c>
      <c r="I12" s="187">
        <f t="shared" si="6"/>
        <v>-3.5114579369728463E-2</v>
      </c>
      <c r="J12" s="187">
        <f t="shared" si="6"/>
        <v>0</v>
      </c>
      <c r="K12" s="187">
        <f t="shared" si="6"/>
        <v>0</v>
      </c>
      <c r="L12" s="187">
        <f t="shared" si="6"/>
        <v>1</v>
      </c>
      <c r="M12" s="187">
        <f t="shared" si="6"/>
        <v>0</v>
      </c>
      <c r="N12" s="187">
        <f t="shared" si="6"/>
        <v>1</v>
      </c>
      <c r="O12" s="187">
        <f t="shared" si="6"/>
        <v>0</v>
      </c>
      <c r="P12" s="187">
        <f t="shared" si="6"/>
        <v>0</v>
      </c>
      <c r="Q12" s="187">
        <f t="shared" si="6"/>
        <v>-3.188965769391023E-2</v>
      </c>
      <c r="R12" s="188">
        <f t="shared" si="6"/>
        <v>0</v>
      </c>
    </row>
  </sheetData>
  <mergeCells count="9">
    <mergeCell ref="A1:R1"/>
    <mergeCell ref="B2:R2"/>
    <mergeCell ref="A9:A12"/>
    <mergeCell ref="Q3:R3"/>
    <mergeCell ref="A3:A4"/>
    <mergeCell ref="B3:B4"/>
    <mergeCell ref="C3:I3"/>
    <mergeCell ref="J3:N3"/>
    <mergeCell ref="O3:P3"/>
  </mergeCells>
  <pageMargins left="0.11811023622047245" right="0" top="0.74803149606299213" bottom="0.74803149606299213" header="0.31496062992125984" footer="0.31496062992125984"/>
  <pageSetup paperSize="9" scale="6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"/>
  <sheetViews>
    <sheetView workbookViewId="0">
      <selection activeCell="G14" sqref="G14"/>
    </sheetView>
  </sheetViews>
  <sheetFormatPr baseColWidth="10" defaultColWidth="11.42578125" defaultRowHeight="15" x14ac:dyDescent="0.25"/>
  <cols>
    <col min="1" max="1" width="64" customWidth="1"/>
    <col min="2" max="2" width="7.42578125" customWidth="1"/>
    <col min="3" max="3" width="8" customWidth="1"/>
    <col min="4" max="4" width="8.85546875" customWidth="1"/>
    <col min="5" max="5" width="7.42578125" customWidth="1"/>
    <col min="6" max="6" width="12.5703125" customWidth="1"/>
    <col min="7" max="7" width="8.5703125" customWidth="1"/>
    <col min="8" max="8" width="8.42578125" customWidth="1"/>
    <col min="9" max="9" width="9.5703125" customWidth="1"/>
    <col min="10" max="10" width="7.5703125" customWidth="1"/>
    <col min="11" max="11" width="12.5703125" customWidth="1"/>
    <col min="12" max="12" width="8.140625" customWidth="1"/>
    <col min="13" max="13" width="12.5703125" customWidth="1"/>
  </cols>
  <sheetData>
    <row r="1" spans="1:13" ht="29.25" customHeight="1" x14ac:dyDescent="0.25">
      <c r="A1" s="345" t="s">
        <v>141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7"/>
    </row>
    <row r="2" spans="1:13" ht="22.5" customHeight="1" x14ac:dyDescent="0.25">
      <c r="A2" s="189" t="s">
        <v>617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2"/>
    </row>
    <row r="3" spans="1:13" s="13" customFormat="1" ht="28.35" customHeight="1" x14ac:dyDescent="0.25">
      <c r="A3" s="190" t="s">
        <v>35</v>
      </c>
      <c r="B3" s="363">
        <v>2021</v>
      </c>
      <c r="C3" s="364"/>
      <c r="D3" s="364"/>
      <c r="E3" s="364"/>
      <c r="F3" s="365"/>
      <c r="G3" s="363" t="s">
        <v>36</v>
      </c>
      <c r="H3" s="364"/>
      <c r="I3" s="364"/>
      <c r="J3" s="364"/>
      <c r="K3" s="365"/>
      <c r="L3" s="344" t="s">
        <v>37</v>
      </c>
      <c r="M3" s="360"/>
    </row>
    <row r="4" spans="1:13" s="13" customFormat="1" ht="48.75" customHeight="1" x14ac:dyDescent="0.25">
      <c r="A4" s="253" t="s">
        <v>38</v>
      </c>
      <c r="B4" s="254" t="s">
        <v>39</v>
      </c>
      <c r="C4" s="254" t="s">
        <v>40</v>
      </c>
      <c r="D4" s="254" t="s">
        <v>41</v>
      </c>
      <c r="E4" s="254" t="s">
        <v>30</v>
      </c>
      <c r="F4" s="90" t="s">
        <v>133</v>
      </c>
      <c r="G4" s="254" t="s">
        <v>39</v>
      </c>
      <c r="H4" s="254" t="s">
        <v>40</v>
      </c>
      <c r="I4" s="254" t="s">
        <v>41</v>
      </c>
      <c r="J4" s="254" t="s">
        <v>30</v>
      </c>
      <c r="K4" s="90" t="s">
        <v>133</v>
      </c>
      <c r="L4" s="254" t="s">
        <v>39</v>
      </c>
      <c r="M4" s="255" t="s">
        <v>133</v>
      </c>
    </row>
    <row r="5" spans="1:13" s="1" customFormat="1" ht="12.75" x14ac:dyDescent="0.2">
      <c r="A5" s="259" t="s">
        <v>42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1"/>
    </row>
    <row r="6" spans="1:13" s="1" customFormat="1" ht="22.5" x14ac:dyDescent="0.2">
      <c r="A6" s="191" t="s">
        <v>43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92"/>
    </row>
    <row r="7" spans="1:13" s="1" customFormat="1" ht="20.25" customHeight="1" x14ac:dyDescent="0.2">
      <c r="A7" s="191" t="s">
        <v>44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92"/>
    </row>
    <row r="8" spans="1:13" s="1" customFormat="1" ht="21" customHeight="1" x14ac:dyDescent="0.2">
      <c r="A8" s="191" t="s">
        <v>45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92"/>
    </row>
    <row r="9" spans="1:13" s="1" customFormat="1" ht="21" customHeight="1" x14ac:dyDescent="0.2">
      <c r="A9" s="191" t="s">
        <v>46</v>
      </c>
      <c r="B9" s="357" t="s">
        <v>223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9"/>
    </row>
    <row r="10" spans="1:13" s="1" customFormat="1" ht="22.5" customHeight="1" x14ac:dyDescent="0.2">
      <c r="A10" s="191" t="s">
        <v>47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92"/>
    </row>
    <row r="11" spans="1:13" s="1" customFormat="1" ht="12.75" x14ac:dyDescent="0.2">
      <c r="A11" s="262" t="s">
        <v>48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4"/>
    </row>
    <row r="12" spans="1:13" s="14" customFormat="1" ht="22.5" customHeight="1" x14ac:dyDescent="0.25">
      <c r="A12" s="256" t="s">
        <v>51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8"/>
    </row>
    <row r="13" spans="1:13" x14ac:dyDescent="0.25">
      <c r="A13" s="15" t="s">
        <v>49</v>
      </c>
    </row>
    <row r="14" spans="1:13" x14ac:dyDescent="0.25">
      <c r="A14" s="15" t="s">
        <v>50</v>
      </c>
    </row>
  </sheetData>
  <mergeCells count="6">
    <mergeCell ref="B9:M9"/>
    <mergeCell ref="L3:M3"/>
    <mergeCell ref="A1:M1"/>
    <mergeCell ref="B2:M2"/>
    <mergeCell ref="B3:F3"/>
    <mergeCell ref="G3:K3"/>
  </mergeCells>
  <pageMargins left="0.11811023622047245" right="0" top="0.74803149606299213" bottom="0.74803149606299213" header="0.31496062992125984" footer="0.31496062992125984"/>
  <pageSetup scale="68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workbookViewId="0">
      <selection activeCell="A17" sqref="A17"/>
    </sheetView>
  </sheetViews>
  <sheetFormatPr baseColWidth="10" defaultColWidth="11.42578125" defaultRowHeight="12" x14ac:dyDescent="0.2"/>
  <cols>
    <col min="1" max="1" width="65.42578125" style="17" customWidth="1"/>
    <col min="2" max="2" width="11.85546875" style="17" customWidth="1"/>
    <col min="3" max="3" width="12.42578125" style="17" customWidth="1"/>
    <col min="4" max="5" width="12.140625" style="17" customWidth="1"/>
    <col min="6" max="6" width="12.42578125" style="17" customWidth="1"/>
    <col min="7" max="7" width="10.85546875" style="17" customWidth="1"/>
    <col min="8" max="8" width="10" style="17" customWidth="1"/>
    <col min="9" max="9" width="15.42578125" style="17" customWidth="1"/>
    <col min="10" max="10" width="10.140625" style="17" customWidth="1"/>
    <col min="11" max="16384" width="11.42578125" style="17"/>
  </cols>
  <sheetData>
    <row r="1" spans="1:10" ht="15.75" x14ac:dyDescent="0.2">
      <c r="A1" s="366" t="s">
        <v>205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ht="12.75" x14ac:dyDescent="0.2">
      <c r="A2" s="91" t="s">
        <v>617</v>
      </c>
      <c r="B2" s="367" t="s">
        <v>214</v>
      </c>
      <c r="C2" s="368"/>
      <c r="D2" s="368"/>
      <c r="E2" s="368"/>
      <c r="F2" s="368"/>
      <c r="G2" s="368"/>
      <c r="H2" s="368"/>
      <c r="I2" s="368"/>
      <c r="J2" s="369"/>
    </row>
    <row r="3" spans="1:10" ht="12.75" x14ac:dyDescent="0.2">
      <c r="A3" s="193"/>
      <c r="B3" s="370"/>
      <c r="C3" s="371"/>
      <c r="D3" s="371"/>
      <c r="E3" s="371"/>
      <c r="F3" s="371"/>
      <c r="G3" s="371"/>
      <c r="H3" s="371"/>
      <c r="I3" s="371"/>
      <c r="J3" s="372"/>
    </row>
    <row r="4" spans="1:10" x14ac:dyDescent="0.2">
      <c r="A4" s="373" t="s">
        <v>212</v>
      </c>
      <c r="B4" s="373" t="s">
        <v>142</v>
      </c>
      <c r="C4" s="373" t="s">
        <v>83</v>
      </c>
      <c r="D4" s="373" t="s">
        <v>143</v>
      </c>
      <c r="E4" s="373" t="s">
        <v>145</v>
      </c>
      <c r="F4" s="373" t="s">
        <v>144</v>
      </c>
      <c r="G4" s="373" t="s">
        <v>146</v>
      </c>
      <c r="H4" s="373" t="s">
        <v>148</v>
      </c>
      <c r="I4" s="373" t="s">
        <v>147</v>
      </c>
      <c r="J4" s="373" t="s">
        <v>149</v>
      </c>
    </row>
    <row r="5" spans="1:10" ht="39.6" customHeight="1" x14ac:dyDescent="0.2">
      <c r="A5" s="374"/>
      <c r="B5" s="374"/>
      <c r="C5" s="374"/>
      <c r="D5" s="374"/>
      <c r="E5" s="374"/>
      <c r="F5" s="374"/>
      <c r="G5" s="374"/>
      <c r="H5" s="374"/>
      <c r="I5" s="374"/>
      <c r="J5" s="374"/>
    </row>
    <row r="6" spans="1:10" x14ac:dyDescent="0.2">
      <c r="A6" s="194" t="s">
        <v>227</v>
      </c>
      <c r="B6" s="195">
        <v>46700</v>
      </c>
      <c r="C6" s="195">
        <v>19678</v>
      </c>
      <c r="D6" s="195">
        <v>12584</v>
      </c>
      <c r="E6" s="195">
        <v>19513</v>
      </c>
      <c r="F6" s="195">
        <v>16957</v>
      </c>
      <c r="G6" s="195">
        <f>E6-B6</f>
        <v>-27187</v>
      </c>
      <c r="H6" s="196">
        <f>G6/B6</f>
        <v>-0.5821627408993576</v>
      </c>
      <c r="I6" s="195">
        <f>F6-D6</f>
        <v>4373</v>
      </c>
      <c r="J6" s="196">
        <f>I6/E6</f>
        <v>0.22410700558601956</v>
      </c>
    </row>
    <row r="7" spans="1:10" x14ac:dyDescent="0.2">
      <c r="A7" s="194" t="s">
        <v>228</v>
      </c>
      <c r="B7" s="195">
        <f>283200+4000</f>
        <v>287200</v>
      </c>
      <c r="C7" s="195">
        <f>66500+1000</f>
        <v>67500</v>
      </c>
      <c r="D7" s="195">
        <v>193600</v>
      </c>
      <c r="E7" s="195">
        <f>24694+6800+138100</f>
        <v>169594</v>
      </c>
      <c r="F7" s="195">
        <v>190579</v>
      </c>
      <c r="G7" s="195">
        <f t="shared" ref="G7:G33" si="0">E7-B7</f>
        <v>-117606</v>
      </c>
      <c r="H7" s="196">
        <f t="shared" ref="H7:H33" si="1">G7/B7</f>
        <v>-0.40949164345403899</v>
      </c>
      <c r="I7" s="195">
        <f t="shared" ref="I7:I33" si="2">F7-D7</f>
        <v>-3021</v>
      </c>
      <c r="J7" s="196">
        <f t="shared" ref="J7:J33" si="3">I7/E7</f>
        <v>-1.7813130181492269E-2</v>
      </c>
    </row>
    <row r="8" spans="1:10" x14ac:dyDescent="0.2">
      <c r="A8" s="194" t="s">
        <v>229</v>
      </c>
      <c r="B8" s="195">
        <v>579434</v>
      </c>
      <c r="C8" s="195">
        <v>295403</v>
      </c>
      <c r="D8" s="195">
        <v>606341</v>
      </c>
      <c r="E8" s="195">
        <v>279617</v>
      </c>
      <c r="F8" s="195">
        <v>416030</v>
      </c>
      <c r="G8" s="195">
        <f t="shared" si="0"/>
        <v>-299817</v>
      </c>
      <c r="H8" s="196">
        <f t="shared" si="1"/>
        <v>-0.51743080316308676</v>
      </c>
      <c r="I8" s="195">
        <f t="shared" si="2"/>
        <v>-190311</v>
      </c>
      <c r="J8" s="196">
        <f t="shared" si="3"/>
        <v>-0.68061312438084953</v>
      </c>
    </row>
    <row r="9" spans="1:10" x14ac:dyDescent="0.2">
      <c r="A9" s="194" t="s">
        <v>84</v>
      </c>
      <c r="B9" s="195">
        <v>0</v>
      </c>
      <c r="C9" s="195">
        <v>0</v>
      </c>
      <c r="D9" s="195">
        <v>0</v>
      </c>
      <c r="E9" s="195">
        <v>0</v>
      </c>
      <c r="F9" s="195">
        <v>0</v>
      </c>
      <c r="G9" s="195">
        <f t="shared" si="0"/>
        <v>0</v>
      </c>
      <c r="H9" s="196"/>
      <c r="I9" s="195">
        <f t="shared" si="2"/>
        <v>0</v>
      </c>
      <c r="J9" s="196"/>
    </row>
    <row r="10" spans="1:10" x14ac:dyDescent="0.2">
      <c r="A10" s="194" t="s">
        <v>230</v>
      </c>
      <c r="B10" s="195">
        <f>5080+10000+750</f>
        <v>15830</v>
      </c>
      <c r="C10" s="195">
        <f>5080+750</f>
        <v>5830</v>
      </c>
      <c r="D10" s="195">
        <f>28000+6000</f>
        <v>34000</v>
      </c>
      <c r="E10" s="195">
        <f>26100+13000</f>
        <v>39100</v>
      </c>
      <c r="F10" s="195">
        <f>26000+6000</f>
        <v>32000</v>
      </c>
      <c r="G10" s="195">
        <f t="shared" si="0"/>
        <v>23270</v>
      </c>
      <c r="H10" s="196">
        <f t="shared" si="1"/>
        <v>1.4699936828806064</v>
      </c>
      <c r="I10" s="195">
        <f t="shared" si="2"/>
        <v>-2000</v>
      </c>
      <c r="J10" s="196">
        <f t="shared" si="3"/>
        <v>-5.1150895140664961E-2</v>
      </c>
    </row>
    <row r="11" spans="1:10" x14ac:dyDescent="0.2">
      <c r="A11" s="194" t="s">
        <v>231</v>
      </c>
      <c r="B11" s="195">
        <v>60000</v>
      </c>
      <c r="C11" s="195">
        <v>42220</v>
      </c>
      <c r="D11" s="195">
        <v>130202</v>
      </c>
      <c r="E11" s="195">
        <v>130202</v>
      </c>
      <c r="F11" s="195">
        <v>149000</v>
      </c>
      <c r="G11" s="195">
        <f t="shared" si="0"/>
        <v>70202</v>
      </c>
      <c r="H11" s="196">
        <f t="shared" si="1"/>
        <v>1.1700333333333333</v>
      </c>
      <c r="I11" s="195">
        <f t="shared" si="2"/>
        <v>18798</v>
      </c>
      <c r="J11" s="196">
        <f t="shared" si="3"/>
        <v>0.14437566243222069</v>
      </c>
    </row>
    <row r="12" spans="1:10" x14ac:dyDescent="0.2">
      <c r="A12" s="194" t="s">
        <v>232</v>
      </c>
      <c r="B12" s="195">
        <v>195562</v>
      </c>
      <c r="C12" s="195">
        <v>63387</v>
      </c>
      <c r="D12" s="195">
        <v>203459</v>
      </c>
      <c r="E12" s="195">
        <v>138003</v>
      </c>
      <c r="F12" s="195">
        <v>228969</v>
      </c>
      <c r="G12" s="195">
        <f t="shared" si="0"/>
        <v>-57559</v>
      </c>
      <c r="H12" s="196">
        <f t="shared" si="1"/>
        <v>-0.29432609607183402</v>
      </c>
      <c r="I12" s="195">
        <f t="shared" si="2"/>
        <v>25510</v>
      </c>
      <c r="J12" s="196">
        <f t="shared" si="3"/>
        <v>0.18485105396259502</v>
      </c>
    </row>
    <row r="13" spans="1:10" x14ac:dyDescent="0.2">
      <c r="A13" s="194" t="s">
        <v>233</v>
      </c>
      <c r="B13" s="195">
        <f>2650+5700</f>
        <v>8350</v>
      </c>
      <c r="C13" s="195">
        <f>650+4024</f>
        <v>4674</v>
      </c>
      <c r="D13" s="195">
        <f>3975+72000</f>
        <v>75975</v>
      </c>
      <c r="E13" s="195">
        <f>5255+37208+34792</f>
        <v>77255</v>
      </c>
      <c r="F13" s="195">
        <f>2392+60000</f>
        <v>62392</v>
      </c>
      <c r="G13" s="195">
        <f t="shared" si="0"/>
        <v>68905</v>
      </c>
      <c r="H13" s="196">
        <f t="shared" si="1"/>
        <v>8.252095808383233</v>
      </c>
      <c r="I13" s="195">
        <f t="shared" si="2"/>
        <v>-13583</v>
      </c>
      <c r="J13" s="196">
        <f t="shared" si="3"/>
        <v>-0.17582033525338167</v>
      </c>
    </row>
    <row r="14" spans="1:10" x14ac:dyDescent="0.2">
      <c r="A14" s="194" t="s">
        <v>234</v>
      </c>
      <c r="B14" s="195">
        <f>4858331+183455+44400</f>
        <v>5086186</v>
      </c>
      <c r="C14" s="195">
        <f>4702209+210751+51402+121824+1680</f>
        <v>5087866</v>
      </c>
      <c r="D14" s="195">
        <f>5078635+150184+33600</f>
        <v>5262419</v>
      </c>
      <c r="E14" s="195">
        <f>4948755+243593+54600+67197</f>
        <v>5314145</v>
      </c>
      <c r="F14" s="195">
        <f>4422401+174948+46303</f>
        <v>4643652</v>
      </c>
      <c r="G14" s="195">
        <f t="shared" si="0"/>
        <v>227959</v>
      </c>
      <c r="H14" s="196">
        <f t="shared" si="1"/>
        <v>4.4819241765833968E-2</v>
      </c>
      <c r="I14" s="195">
        <f t="shared" si="2"/>
        <v>-618767</v>
      </c>
      <c r="J14" s="196">
        <f t="shared" si="3"/>
        <v>-0.11643773363353842</v>
      </c>
    </row>
    <row r="15" spans="1:10" x14ac:dyDescent="0.2">
      <c r="A15" s="194" t="s">
        <v>235</v>
      </c>
      <c r="B15" s="195">
        <f>1080930+476625</f>
        <v>1557555</v>
      </c>
      <c r="C15" s="195">
        <f>1619725+476625</f>
        <v>2096350</v>
      </c>
      <c r="D15" s="195">
        <f>637491+445000+30416+11160</f>
        <v>1124067</v>
      </c>
      <c r="E15" s="195">
        <f>323068+799291</f>
        <v>1122359</v>
      </c>
      <c r="F15" s="195">
        <f>794493+338048</f>
        <v>1132541</v>
      </c>
      <c r="G15" s="195">
        <f t="shared" si="0"/>
        <v>-435196</v>
      </c>
      <c r="H15" s="196">
        <f t="shared" si="1"/>
        <v>-0.27940971586878149</v>
      </c>
      <c r="I15" s="195">
        <f t="shared" si="2"/>
        <v>8474</v>
      </c>
      <c r="J15" s="196">
        <f t="shared" si="3"/>
        <v>7.550168885356646E-3</v>
      </c>
    </row>
    <row r="16" spans="1:10" x14ac:dyDescent="0.2">
      <c r="A16" s="194" t="s">
        <v>236</v>
      </c>
      <c r="B16" s="195">
        <f>25800+4500+5400+3400</f>
        <v>39100</v>
      </c>
      <c r="C16" s="195">
        <f>16430+16053+890+4891+44923</f>
        <v>83187</v>
      </c>
      <c r="D16" s="195">
        <f>5300+3980+77+36378</f>
        <v>45735</v>
      </c>
      <c r="E16" s="195">
        <f>5300+3980+2777+34411</f>
        <v>46468</v>
      </c>
      <c r="F16" s="195">
        <f>1600+1362+3755</f>
        <v>6717</v>
      </c>
      <c r="G16" s="195">
        <f t="shared" si="0"/>
        <v>7368</v>
      </c>
      <c r="H16" s="196">
        <f t="shared" si="1"/>
        <v>0.18843989769820971</v>
      </c>
      <c r="I16" s="195">
        <f t="shared" si="2"/>
        <v>-39018</v>
      </c>
      <c r="J16" s="196">
        <f t="shared" si="3"/>
        <v>-0.83967461478867178</v>
      </c>
    </row>
    <row r="17" spans="1:10" x14ac:dyDescent="0.2">
      <c r="A17" s="194" t="s">
        <v>237</v>
      </c>
      <c r="B17" s="195">
        <v>0</v>
      </c>
      <c r="C17" s="195">
        <v>0</v>
      </c>
      <c r="D17" s="195">
        <f>120000+7320</f>
        <v>127320</v>
      </c>
      <c r="E17" s="195">
        <v>7320</v>
      </c>
      <c r="F17" s="195">
        <v>170000</v>
      </c>
      <c r="G17" s="195">
        <f t="shared" si="0"/>
        <v>7320</v>
      </c>
      <c r="H17" s="196"/>
      <c r="I17" s="195">
        <f t="shared" si="2"/>
        <v>42680</v>
      </c>
      <c r="J17" s="196">
        <f t="shared" si="3"/>
        <v>5.8306010928961749</v>
      </c>
    </row>
    <row r="18" spans="1:10" x14ac:dyDescent="0.2">
      <c r="A18" s="194" t="s">
        <v>238</v>
      </c>
      <c r="B18" s="195">
        <v>100000</v>
      </c>
      <c r="C18" s="195">
        <v>100000</v>
      </c>
      <c r="D18" s="195">
        <f>71000+9200</f>
        <v>80200</v>
      </c>
      <c r="E18" s="195">
        <f>71000+9200</f>
        <v>80200</v>
      </c>
      <c r="F18" s="195">
        <v>0</v>
      </c>
      <c r="G18" s="195">
        <f t="shared" si="0"/>
        <v>-19800</v>
      </c>
      <c r="H18" s="196">
        <f t="shared" si="1"/>
        <v>-0.19800000000000001</v>
      </c>
      <c r="I18" s="195">
        <f t="shared" si="2"/>
        <v>-80200</v>
      </c>
      <c r="J18" s="196">
        <f t="shared" si="3"/>
        <v>-1</v>
      </c>
    </row>
    <row r="19" spans="1:10" x14ac:dyDescent="0.2">
      <c r="A19" s="194" t="s">
        <v>239</v>
      </c>
      <c r="B19" s="195">
        <f>42100+168000+17100+12500</f>
        <v>239700</v>
      </c>
      <c r="C19" s="195">
        <f>379551+88672+636+160007</f>
        <v>628866</v>
      </c>
      <c r="D19" s="195">
        <f>148000+139000+110600</f>
        <v>397600</v>
      </c>
      <c r="E19" s="195">
        <f>148000+132450+3850+110600</f>
        <v>394900</v>
      </c>
      <c r="F19" s="195">
        <f>222000+49000+160401</f>
        <v>431401</v>
      </c>
      <c r="G19" s="195">
        <f t="shared" si="0"/>
        <v>155200</v>
      </c>
      <c r="H19" s="196">
        <f t="shared" si="1"/>
        <v>0.64747601168126823</v>
      </c>
      <c r="I19" s="195">
        <f t="shared" si="2"/>
        <v>33801</v>
      </c>
      <c r="J19" s="196">
        <f t="shared" si="3"/>
        <v>8.5593821220562166E-2</v>
      </c>
    </row>
    <row r="20" spans="1:10" x14ac:dyDescent="0.2">
      <c r="A20" s="197" t="s">
        <v>240</v>
      </c>
      <c r="B20" s="195">
        <v>3800</v>
      </c>
      <c r="C20" s="195">
        <v>3000</v>
      </c>
      <c r="D20" s="195">
        <f>6000</f>
        <v>6000</v>
      </c>
      <c r="E20" s="195">
        <v>6000</v>
      </c>
      <c r="F20" s="195">
        <v>0</v>
      </c>
      <c r="G20" s="195">
        <f t="shared" si="0"/>
        <v>2200</v>
      </c>
      <c r="H20" s="196">
        <f t="shared" si="1"/>
        <v>0.57894736842105265</v>
      </c>
      <c r="I20" s="195">
        <f t="shared" si="2"/>
        <v>-6000</v>
      </c>
      <c r="J20" s="196">
        <f t="shared" si="3"/>
        <v>-1</v>
      </c>
    </row>
    <row r="21" spans="1:10" x14ac:dyDescent="0.2">
      <c r="A21" s="194" t="s">
        <v>241</v>
      </c>
      <c r="B21" s="195">
        <f>27246+1200+145486</f>
        <v>173932</v>
      </c>
      <c r="C21" s="195">
        <f>30962+1400+132724</f>
        <v>165086</v>
      </c>
      <c r="D21" s="195">
        <f>30475+1100+298283</f>
        <v>329858</v>
      </c>
      <c r="E21" s="195">
        <f>22875+1200+560+105640</f>
        <v>130275</v>
      </c>
      <c r="F21" s="195">
        <f>29075+1210+181619</f>
        <v>211904</v>
      </c>
      <c r="G21" s="195">
        <f t="shared" si="0"/>
        <v>-43657</v>
      </c>
      <c r="H21" s="196">
        <f t="shared" si="1"/>
        <v>-0.25100039095738563</v>
      </c>
      <c r="I21" s="195">
        <f t="shared" si="2"/>
        <v>-117954</v>
      </c>
      <c r="J21" s="196">
        <f t="shared" si="3"/>
        <v>-0.90542314335060448</v>
      </c>
    </row>
    <row r="22" spans="1:10" x14ac:dyDescent="0.2">
      <c r="A22" s="194" t="s">
        <v>242</v>
      </c>
      <c r="B22" s="195">
        <f>265320+39720+62793+34800+267982</f>
        <v>670615</v>
      </c>
      <c r="C22" s="195">
        <f>222520+82520+62793+33078+301489</f>
        <v>702400</v>
      </c>
      <c r="D22" s="195">
        <f>259000+45000+54000+28320+384665</f>
        <v>770985</v>
      </c>
      <c r="E22" s="195">
        <f>231041+70860+106919+28320+333845</f>
        <v>770985</v>
      </c>
      <c r="F22" s="195">
        <f>162000+71400+112950+25680+319849</f>
        <v>691879</v>
      </c>
      <c r="G22" s="195">
        <f t="shared" si="0"/>
        <v>100370</v>
      </c>
      <c r="H22" s="196">
        <f t="shared" si="1"/>
        <v>0.14966858778882072</v>
      </c>
      <c r="I22" s="195">
        <f t="shared" si="2"/>
        <v>-79106</v>
      </c>
      <c r="J22" s="196">
        <f t="shared" si="3"/>
        <v>-0.10260381200671868</v>
      </c>
    </row>
    <row r="23" spans="1:10" x14ac:dyDescent="0.2">
      <c r="A23" s="194" t="s">
        <v>243</v>
      </c>
      <c r="B23" s="195">
        <v>34967</v>
      </c>
      <c r="C23" s="195">
        <v>29567</v>
      </c>
      <c r="D23" s="195">
        <v>18400</v>
      </c>
      <c r="E23" s="195">
        <v>25760</v>
      </c>
      <c r="F23" s="195">
        <v>12000</v>
      </c>
      <c r="G23" s="195">
        <f t="shared" si="0"/>
        <v>-9207</v>
      </c>
      <c r="H23" s="196">
        <f t="shared" si="1"/>
        <v>-0.26330540223639431</v>
      </c>
      <c r="I23" s="195">
        <f t="shared" si="2"/>
        <v>-6400</v>
      </c>
      <c r="J23" s="196">
        <f t="shared" si="3"/>
        <v>-0.2484472049689441</v>
      </c>
    </row>
    <row r="24" spans="1:10" x14ac:dyDescent="0.2">
      <c r="A24" s="194" t="s">
        <v>244</v>
      </c>
      <c r="B24" s="195">
        <v>529375</v>
      </c>
      <c r="C24" s="195">
        <v>493977</v>
      </c>
      <c r="D24" s="195">
        <v>442622</v>
      </c>
      <c r="E24" s="195">
        <v>493707</v>
      </c>
      <c r="F24" s="195">
        <v>429771</v>
      </c>
      <c r="G24" s="195">
        <f t="shared" si="0"/>
        <v>-35668</v>
      </c>
      <c r="H24" s="196">
        <f t="shared" si="1"/>
        <v>-6.7377567886658801E-2</v>
      </c>
      <c r="I24" s="195">
        <f t="shared" si="2"/>
        <v>-12851</v>
      </c>
      <c r="J24" s="196">
        <f t="shared" si="3"/>
        <v>-2.6029608654525863E-2</v>
      </c>
    </row>
    <row r="25" spans="1:10" x14ac:dyDescent="0.2">
      <c r="A25" s="194" t="s">
        <v>245</v>
      </c>
      <c r="B25" s="195">
        <v>554205</v>
      </c>
      <c r="C25" s="195">
        <v>597173</v>
      </c>
      <c r="D25" s="195">
        <v>516763</v>
      </c>
      <c r="E25" s="195">
        <v>607517</v>
      </c>
      <c r="F25" s="195">
        <v>607516</v>
      </c>
      <c r="G25" s="195">
        <f t="shared" si="0"/>
        <v>53312</v>
      </c>
      <c r="H25" s="196">
        <f t="shared" si="1"/>
        <v>9.6195451141725535E-2</v>
      </c>
      <c r="I25" s="195">
        <f t="shared" si="2"/>
        <v>90753</v>
      </c>
      <c r="J25" s="196">
        <f t="shared" si="3"/>
        <v>0.14938347404270169</v>
      </c>
    </row>
    <row r="26" spans="1:10" x14ac:dyDescent="0.2">
      <c r="A26" s="194" t="s">
        <v>246</v>
      </c>
      <c r="B26" s="195">
        <f>530893+420000</f>
        <v>950893</v>
      </c>
      <c r="C26" s="195">
        <f>274868+260115</f>
        <v>534983</v>
      </c>
      <c r="D26" s="195">
        <f>62500+36500</f>
        <v>99000</v>
      </c>
      <c r="E26" s="195">
        <f>44830+54170</f>
        <v>99000</v>
      </c>
      <c r="F26" s="195">
        <v>0</v>
      </c>
      <c r="G26" s="195">
        <f t="shared" si="0"/>
        <v>-851893</v>
      </c>
      <c r="H26" s="196">
        <f t="shared" si="1"/>
        <v>-0.89588733958500066</v>
      </c>
      <c r="I26" s="195">
        <f t="shared" si="2"/>
        <v>-99000</v>
      </c>
      <c r="J26" s="196">
        <f t="shared" si="3"/>
        <v>-1</v>
      </c>
    </row>
    <row r="27" spans="1:10" x14ac:dyDescent="0.2">
      <c r="A27" s="194" t="s">
        <v>247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f t="shared" si="0"/>
        <v>0</v>
      </c>
      <c r="H27" s="196"/>
      <c r="I27" s="195">
        <f t="shared" si="2"/>
        <v>0</v>
      </c>
      <c r="J27" s="196"/>
    </row>
    <row r="28" spans="1:10" x14ac:dyDescent="0.2">
      <c r="A28" s="194" t="s">
        <v>248</v>
      </c>
      <c r="B28" s="195">
        <f>3980+3300</f>
        <v>7280</v>
      </c>
      <c r="C28" s="195">
        <f>85+4958</f>
        <v>5043</v>
      </c>
      <c r="D28" s="195">
        <f>140+43442</f>
        <v>43582</v>
      </c>
      <c r="E28" s="195">
        <f>1390+14876</f>
        <v>16266</v>
      </c>
      <c r="F28" s="195">
        <v>26979</v>
      </c>
      <c r="G28" s="195">
        <f t="shared" si="0"/>
        <v>8986</v>
      </c>
      <c r="H28" s="196">
        <f t="shared" si="1"/>
        <v>1.2343406593406594</v>
      </c>
      <c r="I28" s="195">
        <f t="shared" si="2"/>
        <v>-16603</v>
      </c>
      <c r="J28" s="196">
        <f t="shared" si="3"/>
        <v>-1.0207180622156646</v>
      </c>
    </row>
    <row r="29" spans="1:10" x14ac:dyDescent="0.2">
      <c r="A29" s="194" t="s">
        <v>249</v>
      </c>
      <c r="B29" s="195">
        <f>40707+70000</f>
        <v>110707</v>
      </c>
      <c r="C29" s="195">
        <f>6500</f>
        <v>6500</v>
      </c>
      <c r="D29" s="195">
        <f>25800+34340</f>
        <v>60140</v>
      </c>
      <c r="E29" s="195">
        <f>41800+35076</f>
        <v>76876</v>
      </c>
      <c r="F29" s="195">
        <f>22240+23920</f>
        <v>46160</v>
      </c>
      <c r="G29" s="195">
        <f t="shared" si="0"/>
        <v>-33831</v>
      </c>
      <c r="H29" s="196">
        <f t="shared" si="1"/>
        <v>-0.30559043240264844</v>
      </c>
      <c r="I29" s="195">
        <f t="shared" si="2"/>
        <v>-13980</v>
      </c>
      <c r="J29" s="196">
        <f t="shared" si="3"/>
        <v>-0.18185129299131067</v>
      </c>
    </row>
    <row r="30" spans="1:10" x14ac:dyDescent="0.2">
      <c r="A30" s="194" t="s">
        <v>250</v>
      </c>
      <c r="B30" s="195">
        <f>20000+42000</f>
        <v>62000</v>
      </c>
      <c r="C30" s="195">
        <f>458+2180</f>
        <v>2638</v>
      </c>
      <c r="D30" s="195">
        <f>12660+47600</f>
        <v>60260</v>
      </c>
      <c r="E30" s="195">
        <f>12660+47600</f>
        <v>60260</v>
      </c>
      <c r="F30" s="195">
        <f>33600+27120</f>
        <v>60720</v>
      </c>
      <c r="G30" s="195">
        <f t="shared" si="0"/>
        <v>-1740</v>
      </c>
      <c r="H30" s="196">
        <f t="shared" si="1"/>
        <v>-2.8064516129032258E-2</v>
      </c>
      <c r="I30" s="195">
        <f t="shared" si="2"/>
        <v>460</v>
      </c>
      <c r="J30" s="196">
        <f t="shared" si="3"/>
        <v>7.6335877862595417E-3</v>
      </c>
    </row>
    <row r="31" spans="1:10" x14ac:dyDescent="0.2">
      <c r="A31" s="194" t="s">
        <v>251</v>
      </c>
      <c r="B31" s="195">
        <v>34974</v>
      </c>
      <c r="C31" s="195">
        <v>3822</v>
      </c>
      <c r="D31" s="195">
        <v>13560</v>
      </c>
      <c r="E31" s="195">
        <v>9387</v>
      </c>
      <c r="F31" s="195">
        <v>11400</v>
      </c>
      <c r="G31" s="195">
        <f t="shared" si="0"/>
        <v>-25587</v>
      </c>
      <c r="H31" s="196">
        <f t="shared" si="1"/>
        <v>-0.73160061760164696</v>
      </c>
      <c r="I31" s="195">
        <f t="shared" si="2"/>
        <v>-2160</v>
      </c>
      <c r="J31" s="196">
        <f t="shared" si="3"/>
        <v>-0.23010546500479387</v>
      </c>
    </row>
    <row r="32" spans="1:10" x14ac:dyDescent="0.2">
      <c r="A32" s="194" t="s">
        <v>252</v>
      </c>
      <c r="B32" s="195">
        <v>0</v>
      </c>
      <c r="C32" s="195">
        <v>0</v>
      </c>
      <c r="D32" s="195">
        <v>0</v>
      </c>
      <c r="E32" s="195">
        <v>393520</v>
      </c>
      <c r="F32" s="195">
        <v>0</v>
      </c>
      <c r="G32" s="195">
        <f t="shared" si="0"/>
        <v>393520</v>
      </c>
      <c r="H32" s="196"/>
      <c r="I32" s="195">
        <f t="shared" si="2"/>
        <v>0</v>
      </c>
      <c r="J32" s="196">
        <f t="shared" si="3"/>
        <v>0</v>
      </c>
    </row>
    <row r="33" spans="1:10" x14ac:dyDescent="0.2">
      <c r="A33" s="194" t="s">
        <v>222</v>
      </c>
      <c r="B33" s="195">
        <f>12282578-11348365</f>
        <v>934213</v>
      </c>
      <c r="C33" s="195">
        <f>12159794-11039150</f>
        <v>1120644</v>
      </c>
      <c r="D33" s="195">
        <f>11355362-10654672</f>
        <v>700690</v>
      </c>
      <c r="E33" s="195">
        <f>10992423-10508229</f>
        <v>484194</v>
      </c>
      <c r="F33" s="195">
        <f>10103005-9578567</f>
        <v>524438</v>
      </c>
      <c r="G33" s="195">
        <f t="shared" si="0"/>
        <v>-450019</v>
      </c>
      <c r="H33" s="196">
        <f t="shared" si="1"/>
        <v>-0.48170920336154605</v>
      </c>
      <c r="I33" s="195">
        <f t="shared" si="2"/>
        <v>-176252</v>
      </c>
      <c r="J33" s="196">
        <f t="shared" si="3"/>
        <v>-0.36401111950994847</v>
      </c>
    </row>
    <row r="34" spans="1:10" ht="12.75" thickBot="1" x14ac:dyDescent="0.25">
      <c r="A34" s="198" t="s">
        <v>9</v>
      </c>
      <c r="B34" s="199">
        <f t="shared" ref="B34:G34" si="4">SUM(B6:B33)</f>
        <v>12282578</v>
      </c>
      <c r="C34" s="200">
        <f t="shared" si="4"/>
        <v>12159794</v>
      </c>
      <c r="D34" s="201">
        <f t="shared" si="4"/>
        <v>11355362</v>
      </c>
      <c r="E34" s="202">
        <f t="shared" si="4"/>
        <v>10992423</v>
      </c>
      <c r="F34" s="203">
        <f t="shared" si="4"/>
        <v>10103005</v>
      </c>
      <c r="G34" s="199">
        <f t="shared" si="4"/>
        <v>-1290155</v>
      </c>
      <c r="H34" s="204"/>
      <c r="I34" s="205">
        <f>SUM(I6:I33)</f>
        <v>-1252357</v>
      </c>
      <c r="J34" s="206"/>
    </row>
    <row r="35" spans="1:10" x14ac:dyDescent="0.2">
      <c r="A35" s="68" t="s">
        <v>85</v>
      </c>
    </row>
    <row r="36" spans="1:10" x14ac:dyDescent="0.2">
      <c r="A36" s="68" t="s">
        <v>213</v>
      </c>
    </row>
    <row r="37" spans="1:10" x14ac:dyDescent="0.2">
      <c r="A37" s="68" t="s">
        <v>86</v>
      </c>
    </row>
  </sheetData>
  <mergeCells count="12">
    <mergeCell ref="A1:J1"/>
    <mergeCell ref="B2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11811023622047245" right="0" top="0.74803149606299213" bottom="0.74803149606299213" header="0.31496062992125984" footer="0.31496062992125984"/>
  <pageSetup paperSize="9" scale="75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tabSelected="1" workbookViewId="0">
      <selection activeCell="A3" sqref="A3"/>
    </sheetView>
  </sheetViews>
  <sheetFormatPr baseColWidth="10" defaultColWidth="11.42578125" defaultRowHeight="12" x14ac:dyDescent="0.2"/>
  <cols>
    <col min="1" max="1" width="45.5703125" style="17" customWidth="1"/>
    <col min="2" max="2" width="20.42578125" style="17" customWidth="1"/>
    <col min="3" max="3" width="11.5703125" style="17" customWidth="1"/>
    <col min="4" max="4" width="17.5703125" style="17" customWidth="1"/>
    <col min="5" max="5" width="12.140625" style="17" customWidth="1"/>
    <col min="6" max="6" width="28" style="17" customWidth="1"/>
    <col min="7" max="8" width="17.5703125" style="17" customWidth="1"/>
    <col min="9" max="9" width="12.140625" style="17" customWidth="1"/>
    <col min="10" max="10" width="32.42578125" style="17" customWidth="1"/>
    <col min="11" max="16384" width="11.42578125" style="17"/>
  </cols>
  <sheetData>
    <row r="1" spans="1:10" ht="15.75" x14ac:dyDescent="0.2">
      <c r="A1" s="366" t="s">
        <v>206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ht="18.75" x14ac:dyDescent="0.2">
      <c r="A2" s="366" t="s">
        <v>615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ht="12.75" x14ac:dyDescent="0.2">
      <c r="A3" s="65" t="s">
        <v>617</v>
      </c>
      <c r="B3" s="375"/>
      <c r="C3" s="375"/>
      <c r="D3" s="375"/>
      <c r="E3" s="375"/>
      <c r="F3" s="375"/>
      <c r="G3" s="375"/>
      <c r="H3" s="375"/>
      <c r="I3" s="375"/>
      <c r="J3" s="375"/>
    </row>
    <row r="4" spans="1:10" ht="12.75" x14ac:dyDescent="0.2">
      <c r="A4" s="207"/>
      <c r="B4" s="207"/>
      <c r="C4" s="207"/>
      <c r="D4" s="207"/>
      <c r="E4" s="207"/>
      <c r="F4" s="207"/>
      <c r="G4" s="208"/>
      <c r="H4" s="193"/>
      <c r="I4" s="193"/>
      <c r="J4" s="193"/>
    </row>
    <row r="5" spans="1:10" ht="12.75" x14ac:dyDescent="0.2">
      <c r="A5" s="98" t="s">
        <v>87</v>
      </c>
      <c r="B5" s="98"/>
      <c r="C5" s="98"/>
      <c r="D5" s="98"/>
      <c r="E5" s="98"/>
      <c r="F5" s="98"/>
      <c r="G5" s="98" t="s">
        <v>81</v>
      </c>
      <c r="H5" s="98" t="s">
        <v>92</v>
      </c>
      <c r="I5" s="98"/>
      <c r="J5" s="98"/>
    </row>
    <row r="6" spans="1:10" ht="38.25" x14ac:dyDescent="0.2">
      <c r="A6" s="98" t="s">
        <v>199</v>
      </c>
      <c r="B6" s="97" t="s">
        <v>155</v>
      </c>
      <c r="C6" s="97" t="s">
        <v>88</v>
      </c>
      <c r="D6" s="97" t="s">
        <v>156</v>
      </c>
      <c r="E6" s="97" t="s">
        <v>200</v>
      </c>
      <c r="F6" s="97" t="s">
        <v>157</v>
      </c>
      <c r="G6" s="97" t="s">
        <v>201</v>
      </c>
      <c r="H6" s="97" t="s">
        <v>89</v>
      </c>
      <c r="I6" s="97" t="s">
        <v>91</v>
      </c>
      <c r="J6" s="97" t="s">
        <v>94</v>
      </c>
    </row>
    <row r="7" spans="1:10" ht="18" x14ac:dyDescent="0.2">
      <c r="A7" s="53" t="s">
        <v>177</v>
      </c>
      <c r="B7" s="54"/>
      <c r="C7" s="54"/>
      <c r="D7" s="54"/>
      <c r="E7" s="101">
        <f>SUM(E8:E14)</f>
        <v>4230161.4000000004</v>
      </c>
      <c r="F7" s="54"/>
      <c r="G7" s="54"/>
      <c r="H7" s="54"/>
      <c r="I7" s="54"/>
      <c r="J7" s="54"/>
    </row>
    <row r="8" spans="1:10" ht="24" x14ac:dyDescent="0.2">
      <c r="A8" s="102" t="s">
        <v>253</v>
      </c>
      <c r="B8" s="103" t="s">
        <v>254</v>
      </c>
      <c r="C8" s="82" t="s">
        <v>255</v>
      </c>
      <c r="D8" s="82" t="s">
        <v>256</v>
      </c>
      <c r="E8" s="104">
        <v>1514999</v>
      </c>
      <c r="F8" s="72" t="s">
        <v>257</v>
      </c>
      <c r="G8" s="82" t="s">
        <v>258</v>
      </c>
      <c r="H8" s="105">
        <v>44320</v>
      </c>
      <c r="I8" s="82" t="s">
        <v>259</v>
      </c>
      <c r="J8" s="75" t="s">
        <v>260</v>
      </c>
    </row>
    <row r="9" spans="1:10" ht="36" x14ac:dyDescent="0.2">
      <c r="A9" s="102" t="s">
        <v>261</v>
      </c>
      <c r="B9" s="103" t="s">
        <v>254</v>
      </c>
      <c r="C9" s="82" t="s">
        <v>255</v>
      </c>
      <c r="D9" s="82" t="s">
        <v>262</v>
      </c>
      <c r="E9" s="104">
        <v>1789944.95</v>
      </c>
      <c r="F9" s="106" t="s">
        <v>263</v>
      </c>
      <c r="G9" s="82" t="s">
        <v>258</v>
      </c>
      <c r="H9" s="105">
        <v>44330</v>
      </c>
      <c r="I9" s="82" t="s">
        <v>259</v>
      </c>
      <c r="J9" s="75" t="s">
        <v>264</v>
      </c>
    </row>
    <row r="10" spans="1:10" ht="36" x14ac:dyDescent="0.2">
      <c r="A10" s="102" t="s">
        <v>265</v>
      </c>
      <c r="B10" s="103" t="s">
        <v>254</v>
      </c>
      <c r="C10" s="82" t="s">
        <v>255</v>
      </c>
      <c r="D10" s="82" t="s">
        <v>262</v>
      </c>
      <c r="E10" s="104">
        <v>128586.95</v>
      </c>
      <c r="F10" s="106" t="s">
        <v>263</v>
      </c>
      <c r="G10" s="82" t="s">
        <v>258</v>
      </c>
      <c r="H10" s="105">
        <v>44343</v>
      </c>
      <c r="I10" s="82" t="s">
        <v>266</v>
      </c>
      <c r="J10" s="75" t="s">
        <v>267</v>
      </c>
    </row>
    <row r="11" spans="1:10" ht="48" x14ac:dyDescent="0.2">
      <c r="A11" s="102" t="s">
        <v>268</v>
      </c>
      <c r="B11" s="103" t="s">
        <v>269</v>
      </c>
      <c r="C11" s="82" t="s">
        <v>255</v>
      </c>
      <c r="D11" s="82" t="s">
        <v>256</v>
      </c>
      <c r="E11" s="104">
        <v>211961</v>
      </c>
      <c r="F11" s="102" t="s">
        <v>270</v>
      </c>
      <c r="G11" s="82" t="s">
        <v>258</v>
      </c>
      <c r="H11" s="105">
        <v>44369</v>
      </c>
      <c r="I11" s="82" t="s">
        <v>259</v>
      </c>
      <c r="J11" s="75" t="s">
        <v>271</v>
      </c>
    </row>
    <row r="12" spans="1:10" ht="60" x14ac:dyDescent="0.2">
      <c r="A12" s="102" t="s">
        <v>272</v>
      </c>
      <c r="B12" s="103" t="s">
        <v>269</v>
      </c>
      <c r="C12" s="82" t="s">
        <v>255</v>
      </c>
      <c r="D12" s="82" t="s">
        <v>273</v>
      </c>
      <c r="E12" s="104">
        <v>92064</v>
      </c>
      <c r="F12" s="72" t="s">
        <v>274</v>
      </c>
      <c r="G12" s="82" t="s">
        <v>258</v>
      </c>
      <c r="H12" s="105">
        <v>44543</v>
      </c>
      <c r="I12" s="82" t="s">
        <v>259</v>
      </c>
      <c r="J12" s="75" t="s">
        <v>275</v>
      </c>
    </row>
    <row r="13" spans="1:10" ht="24" x14ac:dyDescent="0.2">
      <c r="A13" s="102" t="s">
        <v>276</v>
      </c>
      <c r="B13" s="103" t="s">
        <v>269</v>
      </c>
      <c r="C13" s="82" t="s">
        <v>255</v>
      </c>
      <c r="D13" s="82" t="s">
        <v>277</v>
      </c>
      <c r="E13" s="104">
        <v>236288</v>
      </c>
      <c r="F13" s="72" t="s">
        <v>278</v>
      </c>
      <c r="G13" s="82" t="s">
        <v>258</v>
      </c>
      <c r="H13" s="105">
        <v>44547</v>
      </c>
      <c r="I13" s="82" t="s">
        <v>259</v>
      </c>
      <c r="J13" s="75" t="s">
        <v>279</v>
      </c>
    </row>
    <row r="14" spans="1:10" ht="24" x14ac:dyDescent="0.2">
      <c r="A14" s="102" t="s">
        <v>280</v>
      </c>
      <c r="B14" s="103" t="s">
        <v>254</v>
      </c>
      <c r="C14" s="82" t="s">
        <v>255</v>
      </c>
      <c r="D14" s="82" t="s">
        <v>281</v>
      </c>
      <c r="E14" s="104">
        <v>256317.5</v>
      </c>
      <c r="F14" s="75" t="s">
        <v>282</v>
      </c>
      <c r="G14" s="82" t="s">
        <v>258</v>
      </c>
      <c r="H14" s="105">
        <v>44567</v>
      </c>
      <c r="I14" s="82" t="s">
        <v>259</v>
      </c>
      <c r="J14" s="75" t="s">
        <v>283</v>
      </c>
    </row>
    <row r="15" spans="1:10" ht="18" x14ac:dyDescent="0.2">
      <c r="A15" s="49" t="s">
        <v>176</v>
      </c>
      <c r="B15" s="50"/>
      <c r="C15" s="50"/>
      <c r="D15" s="50"/>
      <c r="E15" s="107">
        <f>SUM(E16:E24)</f>
        <v>3253030.25</v>
      </c>
      <c r="F15" s="50"/>
      <c r="G15" s="51"/>
      <c r="H15" s="108"/>
      <c r="I15" s="108"/>
      <c r="J15" s="51"/>
    </row>
    <row r="16" spans="1:10" ht="24" x14ac:dyDescent="0.2">
      <c r="A16" s="103" t="s">
        <v>284</v>
      </c>
      <c r="B16" s="103" t="s">
        <v>269</v>
      </c>
      <c r="C16" s="109" t="s">
        <v>255</v>
      </c>
      <c r="D16" s="110" t="s">
        <v>285</v>
      </c>
      <c r="E16" s="111">
        <v>228400</v>
      </c>
      <c r="F16" s="106" t="s">
        <v>286</v>
      </c>
      <c r="G16" s="82" t="s">
        <v>258</v>
      </c>
      <c r="H16" s="105">
        <v>44680</v>
      </c>
      <c r="I16" s="82" t="s">
        <v>259</v>
      </c>
      <c r="J16" s="75" t="s">
        <v>287</v>
      </c>
    </row>
    <row r="17" spans="1:10" ht="24" x14ac:dyDescent="0.2">
      <c r="A17" s="112" t="s">
        <v>288</v>
      </c>
      <c r="B17" s="103" t="s">
        <v>289</v>
      </c>
      <c r="C17" s="109" t="s">
        <v>255</v>
      </c>
      <c r="D17" s="110" t="s">
        <v>290</v>
      </c>
      <c r="E17" s="111">
        <v>172414.8</v>
      </c>
      <c r="F17" s="106" t="s">
        <v>291</v>
      </c>
      <c r="G17" s="82" t="s">
        <v>258</v>
      </c>
      <c r="H17" s="105">
        <v>44700</v>
      </c>
      <c r="I17" s="82" t="s">
        <v>259</v>
      </c>
      <c r="J17" s="75" t="s">
        <v>292</v>
      </c>
    </row>
    <row r="18" spans="1:10" ht="48" x14ac:dyDescent="0.2">
      <c r="A18" s="106" t="s">
        <v>293</v>
      </c>
      <c r="B18" s="103" t="s">
        <v>269</v>
      </c>
      <c r="C18" s="109" t="s">
        <v>255</v>
      </c>
      <c r="D18" s="110" t="s">
        <v>294</v>
      </c>
      <c r="E18" s="111">
        <v>232493.04</v>
      </c>
      <c r="F18" s="106" t="s">
        <v>270</v>
      </c>
      <c r="G18" s="82" t="s">
        <v>258</v>
      </c>
      <c r="H18" s="105">
        <v>44726</v>
      </c>
      <c r="I18" s="82" t="s">
        <v>259</v>
      </c>
      <c r="J18" s="75" t="s">
        <v>295</v>
      </c>
    </row>
    <row r="19" spans="1:10" ht="36" x14ac:dyDescent="0.2">
      <c r="A19" s="103" t="s">
        <v>296</v>
      </c>
      <c r="B19" s="103" t="s">
        <v>254</v>
      </c>
      <c r="C19" s="109" t="s">
        <v>255</v>
      </c>
      <c r="D19" s="110" t="s">
        <v>285</v>
      </c>
      <c r="E19" s="111">
        <v>111308.51</v>
      </c>
      <c r="F19" s="106" t="s">
        <v>263</v>
      </c>
      <c r="G19" s="82" t="s">
        <v>258</v>
      </c>
      <c r="H19" s="105">
        <v>44746</v>
      </c>
      <c r="I19" s="82" t="s">
        <v>266</v>
      </c>
      <c r="J19" s="75" t="s">
        <v>297</v>
      </c>
    </row>
    <row r="20" spans="1:10" ht="48" x14ac:dyDescent="0.2">
      <c r="A20" s="103" t="s">
        <v>298</v>
      </c>
      <c r="B20" s="103" t="s">
        <v>254</v>
      </c>
      <c r="C20" s="109" t="s">
        <v>255</v>
      </c>
      <c r="D20" s="110" t="s">
        <v>285</v>
      </c>
      <c r="E20" s="111">
        <v>1220373.8999999999</v>
      </c>
      <c r="F20" s="106" t="s">
        <v>263</v>
      </c>
      <c r="G20" s="82" t="s">
        <v>258</v>
      </c>
      <c r="H20" s="105">
        <v>44746</v>
      </c>
      <c r="I20" s="82" t="s">
        <v>259</v>
      </c>
      <c r="J20" s="75" t="s">
        <v>299</v>
      </c>
    </row>
    <row r="21" spans="1:10" ht="25.5" x14ac:dyDescent="0.2">
      <c r="A21" s="102" t="s">
        <v>300</v>
      </c>
      <c r="B21" s="103" t="s">
        <v>254</v>
      </c>
      <c r="C21" s="74"/>
      <c r="D21" s="72"/>
      <c r="E21" s="104">
        <v>859542</v>
      </c>
      <c r="F21" s="72"/>
      <c r="G21" s="75"/>
      <c r="H21" s="82"/>
      <c r="I21" s="82"/>
      <c r="J21" s="75" t="s">
        <v>301</v>
      </c>
    </row>
    <row r="22" spans="1:10" ht="49.5" x14ac:dyDescent="0.2">
      <c r="A22" s="102" t="s">
        <v>302</v>
      </c>
      <c r="B22" s="103" t="s">
        <v>269</v>
      </c>
      <c r="C22" s="74"/>
      <c r="D22" s="72"/>
      <c r="E22" s="104">
        <v>97956</v>
      </c>
      <c r="F22" s="72"/>
      <c r="G22" s="75"/>
      <c r="H22" s="82"/>
      <c r="I22" s="82"/>
      <c r="J22" s="75" t="s">
        <v>301</v>
      </c>
    </row>
    <row r="23" spans="1:10" ht="25.5" x14ac:dyDescent="0.2">
      <c r="A23" s="102" t="s">
        <v>303</v>
      </c>
      <c r="B23" s="103" t="s">
        <v>269</v>
      </c>
      <c r="C23" s="72"/>
      <c r="D23" s="72"/>
      <c r="E23" s="104">
        <v>272722</v>
      </c>
      <c r="F23" s="72"/>
      <c r="G23" s="75"/>
      <c r="H23" s="82"/>
      <c r="I23" s="82"/>
      <c r="J23" s="75" t="s">
        <v>301</v>
      </c>
    </row>
    <row r="24" spans="1:10" ht="25.5" x14ac:dyDescent="0.2">
      <c r="A24" s="102" t="s">
        <v>304</v>
      </c>
      <c r="B24" s="102" t="s">
        <v>305</v>
      </c>
      <c r="C24" s="72"/>
      <c r="D24" s="72"/>
      <c r="E24" s="104">
        <v>57820</v>
      </c>
      <c r="F24" s="72"/>
      <c r="G24" s="75"/>
      <c r="H24" s="82"/>
      <c r="I24" s="82"/>
      <c r="J24" s="75" t="s">
        <v>301</v>
      </c>
    </row>
    <row r="25" spans="1:10" ht="18" x14ac:dyDescent="0.2">
      <c r="A25" s="49" t="s">
        <v>178</v>
      </c>
      <c r="B25" s="50"/>
      <c r="C25" s="50"/>
      <c r="D25" s="50"/>
      <c r="E25" s="107">
        <f>SUM(E26:E30)</f>
        <v>2892839</v>
      </c>
      <c r="F25" s="50"/>
      <c r="G25" s="51"/>
      <c r="H25" s="51"/>
      <c r="I25" s="51"/>
      <c r="J25" s="51"/>
    </row>
    <row r="26" spans="1:10" ht="60" x14ac:dyDescent="0.2">
      <c r="A26" s="102" t="s">
        <v>306</v>
      </c>
      <c r="B26" s="103" t="s">
        <v>254</v>
      </c>
      <c r="C26" s="72"/>
      <c r="D26" s="113"/>
      <c r="E26" s="104">
        <v>2049393</v>
      </c>
      <c r="F26" s="72"/>
      <c r="G26" s="75"/>
      <c r="H26" s="75"/>
      <c r="I26" s="75"/>
      <c r="J26" s="75" t="s">
        <v>307</v>
      </c>
    </row>
    <row r="27" spans="1:10" ht="24" x14ac:dyDescent="0.2">
      <c r="A27" s="102" t="s">
        <v>308</v>
      </c>
      <c r="B27" s="103" t="s">
        <v>269</v>
      </c>
      <c r="C27" s="72"/>
      <c r="D27" s="72"/>
      <c r="E27" s="104">
        <v>281949</v>
      </c>
      <c r="F27" s="72"/>
      <c r="G27" s="75"/>
      <c r="H27" s="75"/>
      <c r="I27" s="75"/>
      <c r="J27" s="75" t="s">
        <v>307</v>
      </c>
    </row>
    <row r="28" spans="1:10" ht="60" x14ac:dyDescent="0.2">
      <c r="A28" s="102" t="s">
        <v>309</v>
      </c>
      <c r="B28" s="103" t="s">
        <v>269</v>
      </c>
      <c r="C28" s="72"/>
      <c r="D28" s="72"/>
      <c r="E28" s="104">
        <v>107752</v>
      </c>
      <c r="F28" s="72"/>
      <c r="G28" s="75"/>
      <c r="H28" s="75"/>
      <c r="I28" s="75"/>
      <c r="J28" s="75" t="s">
        <v>307</v>
      </c>
    </row>
    <row r="29" spans="1:10" ht="24" x14ac:dyDescent="0.2">
      <c r="A29" s="102" t="s">
        <v>310</v>
      </c>
      <c r="B29" s="103" t="s">
        <v>289</v>
      </c>
      <c r="C29" s="72"/>
      <c r="D29" s="72"/>
      <c r="E29" s="104">
        <v>220587</v>
      </c>
      <c r="F29" s="72"/>
      <c r="G29" s="75"/>
      <c r="H29" s="75"/>
      <c r="I29" s="75"/>
      <c r="J29" s="75" t="s">
        <v>307</v>
      </c>
    </row>
    <row r="30" spans="1:10" ht="48" x14ac:dyDescent="0.2">
      <c r="A30" s="102" t="s">
        <v>311</v>
      </c>
      <c r="B30" s="103" t="s">
        <v>269</v>
      </c>
      <c r="C30" s="72"/>
      <c r="D30" s="72"/>
      <c r="E30" s="104">
        <v>233158</v>
      </c>
      <c r="F30" s="72"/>
      <c r="G30" s="75"/>
      <c r="H30" s="75"/>
      <c r="I30" s="75"/>
      <c r="J30" s="75" t="s">
        <v>307</v>
      </c>
    </row>
    <row r="31" spans="1:10" ht="18" x14ac:dyDescent="0.2">
      <c r="A31" s="55" t="s">
        <v>9</v>
      </c>
      <c r="B31" s="57"/>
      <c r="C31" s="57"/>
      <c r="D31" s="57"/>
      <c r="E31" s="114">
        <f>E7+E15+E25</f>
        <v>10376030.65</v>
      </c>
      <c r="F31" s="57"/>
      <c r="G31" s="58"/>
      <c r="H31" s="58"/>
      <c r="I31" s="58"/>
      <c r="J31" s="58"/>
    </row>
    <row r="32" spans="1:10" x14ac:dyDescent="0.2">
      <c r="A32" s="376" t="s">
        <v>312</v>
      </c>
      <c r="B32" s="376"/>
      <c r="C32" s="376"/>
      <c r="D32" s="376"/>
      <c r="E32" s="376"/>
      <c r="F32" s="376"/>
      <c r="G32" s="376"/>
      <c r="H32" s="376"/>
      <c r="I32" s="376"/>
      <c r="J32" s="376"/>
    </row>
    <row r="33" spans="1:7" x14ac:dyDescent="0.2">
      <c r="A33" s="69" t="s">
        <v>313</v>
      </c>
      <c r="B33" s="24"/>
      <c r="C33" s="24"/>
      <c r="D33" s="24"/>
      <c r="E33" s="24"/>
      <c r="F33" s="24"/>
      <c r="G33" s="18"/>
    </row>
    <row r="34" spans="1:7" x14ac:dyDescent="0.2">
      <c r="A34" s="69" t="s">
        <v>314</v>
      </c>
    </row>
  </sheetData>
  <mergeCells count="4">
    <mergeCell ref="B3:J3"/>
    <mergeCell ref="A32:J32"/>
    <mergeCell ref="A1:J1"/>
    <mergeCell ref="A2:J2"/>
  </mergeCells>
  <pageMargins left="0.19685039370078741" right="0" top="0.15748031496062992" bottom="0" header="0.31496062992125984" footer="0.31496062992125984"/>
  <pageSetup scale="63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3"/>
  <sheetViews>
    <sheetView workbookViewId="0">
      <selection activeCell="F17" sqref="F17"/>
    </sheetView>
  </sheetViews>
  <sheetFormatPr baseColWidth="10" defaultColWidth="11.42578125" defaultRowHeight="12" x14ac:dyDescent="0.2"/>
  <cols>
    <col min="1" max="1" width="35.5703125" style="17" customWidth="1"/>
    <col min="2" max="2" width="20.42578125" style="17" customWidth="1"/>
    <col min="3" max="3" width="17" style="17" customWidth="1"/>
    <col min="4" max="4" width="19.140625" style="17" customWidth="1"/>
    <col min="5" max="5" width="23.42578125" style="17" customWidth="1"/>
    <col min="6" max="6" width="22.42578125" style="17" customWidth="1"/>
    <col min="7" max="7" width="31.42578125" style="17" customWidth="1"/>
    <col min="8" max="8" width="39.5703125" style="17" customWidth="1"/>
    <col min="9" max="9" width="21.5703125" style="17" customWidth="1"/>
    <col min="10" max="16384" width="11.42578125" style="17"/>
  </cols>
  <sheetData>
    <row r="1" spans="1:24" ht="29.25" customHeight="1" x14ac:dyDescent="0.2">
      <c r="A1" s="366" t="s">
        <v>207</v>
      </c>
      <c r="B1" s="366"/>
      <c r="C1" s="366"/>
      <c r="D1" s="366"/>
      <c r="E1" s="366"/>
      <c r="F1" s="366"/>
      <c r="G1" s="366"/>
      <c r="H1" s="366"/>
      <c r="I1" s="366"/>
    </row>
    <row r="2" spans="1:24" ht="21" customHeight="1" x14ac:dyDescent="0.2">
      <c r="A2" s="91" t="s">
        <v>617</v>
      </c>
      <c r="B2" s="341"/>
      <c r="C2" s="341"/>
      <c r="D2" s="341"/>
      <c r="E2" s="341"/>
      <c r="F2" s="341"/>
      <c r="G2" s="341"/>
      <c r="H2" s="341"/>
      <c r="I2" s="341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24.75" customHeight="1" x14ac:dyDescent="0.2">
      <c r="A3" s="375" t="s">
        <v>95</v>
      </c>
      <c r="B3" s="373" t="s">
        <v>179</v>
      </c>
      <c r="C3" s="373" t="s">
        <v>96</v>
      </c>
      <c r="D3" s="373" t="s">
        <v>183</v>
      </c>
      <c r="E3" s="56" t="s">
        <v>180</v>
      </c>
      <c r="F3" s="56" t="s">
        <v>181</v>
      </c>
      <c r="G3" s="98" t="s">
        <v>182</v>
      </c>
      <c r="H3" s="375" t="s">
        <v>185</v>
      </c>
      <c r="I3" s="375" t="s">
        <v>184</v>
      </c>
    </row>
    <row r="4" spans="1:24" ht="29.25" customHeight="1" x14ac:dyDescent="0.2">
      <c r="A4" s="379"/>
      <c r="B4" s="374"/>
      <c r="C4" s="374"/>
      <c r="D4" s="374"/>
      <c r="E4" s="99" t="s">
        <v>97</v>
      </c>
      <c r="F4" s="99" t="s">
        <v>97</v>
      </c>
      <c r="G4" s="99" t="s">
        <v>97</v>
      </c>
      <c r="H4" s="379"/>
      <c r="I4" s="379"/>
    </row>
    <row r="5" spans="1:24" s="52" customFormat="1" x14ac:dyDescent="0.2">
      <c r="A5" s="81"/>
      <c r="B5" s="81"/>
      <c r="C5" s="81"/>
      <c r="D5" s="81"/>
      <c r="E5" s="81"/>
      <c r="F5" s="81"/>
      <c r="G5" s="81"/>
      <c r="H5" s="81"/>
      <c r="I5" s="81"/>
    </row>
    <row r="6" spans="1:24" x14ac:dyDescent="0.2">
      <c r="A6" s="34"/>
      <c r="B6" s="34"/>
      <c r="C6" s="34"/>
      <c r="D6" s="34"/>
      <c r="E6" s="33"/>
      <c r="F6" s="33"/>
      <c r="G6" s="33"/>
      <c r="H6" s="33"/>
      <c r="I6" s="33"/>
    </row>
    <row r="7" spans="1:24" ht="15.75" x14ac:dyDescent="0.2">
      <c r="A7" s="34"/>
      <c r="B7" s="34"/>
      <c r="C7" s="34"/>
      <c r="D7" s="34"/>
      <c r="E7" s="377" t="s">
        <v>223</v>
      </c>
      <c r="F7" s="378"/>
      <c r="G7" s="33"/>
      <c r="H7" s="33"/>
      <c r="I7" s="33"/>
    </row>
    <row r="8" spans="1:24" x14ac:dyDescent="0.2">
      <c r="A8" s="34"/>
      <c r="B8" s="34"/>
      <c r="C8" s="34"/>
      <c r="D8" s="34"/>
      <c r="E8" s="33"/>
      <c r="F8" s="33"/>
      <c r="G8" s="33"/>
      <c r="H8" s="33"/>
      <c r="I8" s="33"/>
    </row>
    <row r="9" spans="1:24" x14ac:dyDescent="0.2">
      <c r="A9" s="82"/>
      <c r="B9" s="82"/>
      <c r="C9" s="82"/>
      <c r="D9" s="82"/>
      <c r="E9" s="75"/>
      <c r="F9" s="75"/>
      <c r="G9" s="75"/>
      <c r="H9" s="75"/>
      <c r="I9" s="75"/>
    </row>
    <row r="10" spans="1:24" ht="21" customHeight="1" x14ac:dyDescent="0.2">
      <c r="A10" s="79" t="s">
        <v>98</v>
      </c>
      <c r="B10" s="79"/>
      <c r="C10" s="79"/>
      <c r="D10" s="79"/>
      <c r="E10" s="80"/>
      <c r="F10" s="80"/>
      <c r="G10" s="80"/>
      <c r="H10" s="80"/>
      <c r="I10" s="80"/>
    </row>
    <row r="11" spans="1:24" x14ac:dyDescent="0.2">
      <c r="A11" s="22" t="s">
        <v>158</v>
      </c>
      <c r="B11" s="25"/>
      <c r="C11" s="25"/>
      <c r="D11" s="25"/>
      <c r="E11" s="18"/>
      <c r="F11" s="18"/>
      <c r="G11" s="18"/>
    </row>
    <row r="12" spans="1:24" x14ac:dyDescent="0.2">
      <c r="A12" s="67" t="s">
        <v>186</v>
      </c>
      <c r="B12" s="24"/>
      <c r="C12" s="24"/>
      <c r="D12" s="24"/>
      <c r="E12" s="18"/>
      <c r="F12" s="18"/>
      <c r="G12" s="18"/>
    </row>
    <row r="13" spans="1:24" x14ac:dyDescent="0.2">
      <c r="A13" s="68" t="s">
        <v>187</v>
      </c>
      <c r="B13" s="23"/>
      <c r="C13" s="23"/>
      <c r="D13" s="23"/>
      <c r="E13" s="18"/>
      <c r="F13" s="18"/>
      <c r="G13" s="18"/>
    </row>
  </sheetData>
  <mergeCells count="9">
    <mergeCell ref="E7:F7"/>
    <mergeCell ref="A1:I1"/>
    <mergeCell ref="B2:I2"/>
    <mergeCell ref="D3:D4"/>
    <mergeCell ref="A3:A4"/>
    <mergeCell ref="B3:B4"/>
    <mergeCell ref="C3:C4"/>
    <mergeCell ref="H3:H4"/>
    <mergeCell ref="I3:I4"/>
  </mergeCells>
  <pageMargins left="0.11811023622047245" right="0" top="0.74803149606299213" bottom="0.74803149606299213" header="0.31496062992125984" footer="0.31496062992125984"/>
  <pageSetup paperSize="9" scale="4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2"/>
  <sheetViews>
    <sheetView workbookViewId="0">
      <selection activeCell="C13" sqref="C13"/>
    </sheetView>
  </sheetViews>
  <sheetFormatPr baseColWidth="10" defaultColWidth="11.42578125" defaultRowHeight="12" x14ac:dyDescent="0.2"/>
  <cols>
    <col min="1" max="1" width="18.5703125" style="17" customWidth="1"/>
    <col min="2" max="2" width="19.5703125" style="17" customWidth="1"/>
    <col min="3" max="6" width="18.5703125" style="17" customWidth="1"/>
    <col min="7" max="8" width="6.5703125" style="27" customWidth="1"/>
    <col min="9" max="9" width="6.5703125" style="17" customWidth="1"/>
    <col min="10" max="12" width="18.5703125" style="17" customWidth="1"/>
    <col min="13" max="13" width="18.42578125" style="17" customWidth="1"/>
    <col min="14" max="14" width="20.42578125" style="17" customWidth="1"/>
    <col min="15" max="15" width="21.140625" style="17" customWidth="1"/>
    <col min="16" max="16384" width="11.42578125" style="17"/>
  </cols>
  <sheetData>
    <row r="1" spans="1:19" s="22" customFormat="1" ht="20.25" customHeight="1" x14ac:dyDescent="0.2">
      <c r="A1" s="380" t="s">
        <v>208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1:19" ht="12.75" x14ac:dyDescent="0.2">
      <c r="A2" s="91" t="s">
        <v>617</v>
      </c>
      <c r="B2" s="91"/>
      <c r="C2" s="382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18"/>
      <c r="Q2" s="18"/>
      <c r="R2" s="18"/>
      <c r="S2" s="18"/>
    </row>
    <row r="3" spans="1:19" s="28" customFormat="1" ht="20.25" customHeight="1" x14ac:dyDescent="0.2">
      <c r="A3" s="385" t="s">
        <v>119</v>
      </c>
      <c r="B3" s="385"/>
      <c r="C3" s="385" t="s">
        <v>120</v>
      </c>
      <c r="D3" s="385"/>
      <c r="E3" s="385" t="s">
        <v>121</v>
      </c>
      <c r="F3" s="385"/>
      <c r="G3" s="385"/>
      <c r="H3" s="385"/>
      <c r="I3" s="385"/>
      <c r="J3" s="385" t="s">
        <v>122</v>
      </c>
      <c r="K3" s="385"/>
      <c r="L3" s="385"/>
      <c r="M3" s="385" t="s">
        <v>197</v>
      </c>
      <c r="N3" s="385" t="s">
        <v>198</v>
      </c>
      <c r="O3" s="384" t="s">
        <v>139</v>
      </c>
    </row>
    <row r="4" spans="1:19" s="29" customFormat="1" ht="63.75" x14ac:dyDescent="0.25">
      <c r="A4" s="96" t="s">
        <v>5</v>
      </c>
      <c r="B4" s="96" t="s">
        <v>99</v>
      </c>
      <c r="C4" s="100" t="s">
        <v>123</v>
      </c>
      <c r="D4" s="100" t="s">
        <v>124</v>
      </c>
      <c r="E4" s="100" t="s">
        <v>125</v>
      </c>
      <c r="F4" s="100" t="s">
        <v>126</v>
      </c>
      <c r="G4" s="70" t="s">
        <v>127</v>
      </c>
      <c r="H4" s="70" t="s">
        <v>128</v>
      </c>
      <c r="I4" s="70" t="s">
        <v>129</v>
      </c>
      <c r="J4" s="100" t="s">
        <v>130</v>
      </c>
      <c r="K4" s="100" t="s">
        <v>131</v>
      </c>
      <c r="L4" s="100" t="s">
        <v>132</v>
      </c>
      <c r="M4" s="386"/>
      <c r="N4" s="386"/>
      <c r="O4" s="384"/>
    </row>
    <row r="5" spans="1:19" x14ac:dyDescent="0.2">
      <c r="A5" s="3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9" x14ac:dyDescent="0.2">
      <c r="A6" s="3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9" ht="15.75" x14ac:dyDescent="0.25">
      <c r="A7" s="30"/>
      <c r="C7" s="19"/>
      <c r="D7" s="19"/>
      <c r="E7" s="19"/>
      <c r="F7" s="19"/>
      <c r="G7" s="19"/>
      <c r="H7" s="19"/>
      <c r="I7" s="19"/>
      <c r="J7" s="115" t="s">
        <v>223</v>
      </c>
      <c r="K7" s="19"/>
      <c r="L7" s="19"/>
      <c r="M7" s="19"/>
      <c r="N7" s="19"/>
      <c r="O7" s="19"/>
    </row>
    <row r="8" spans="1:19" x14ac:dyDescent="0.2">
      <c r="A8" s="3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9" x14ac:dyDescent="0.2">
      <c r="A9" s="3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9" x14ac:dyDescent="0.2">
      <c r="A10" s="59" t="s">
        <v>34</v>
      </c>
      <c r="B10" s="5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3"/>
    </row>
    <row r="11" spans="1:19" x14ac:dyDescent="0.2">
      <c r="A11" s="22" t="s">
        <v>196</v>
      </c>
    </row>
    <row r="12" spans="1:19" x14ac:dyDescent="0.2">
      <c r="A12" s="22" t="s">
        <v>218</v>
      </c>
    </row>
  </sheetData>
  <mergeCells count="9">
    <mergeCell ref="A1:O1"/>
    <mergeCell ref="C2:O2"/>
    <mergeCell ref="O3:O4"/>
    <mergeCell ref="N3:N4"/>
    <mergeCell ref="A3:B3"/>
    <mergeCell ref="C3:D3"/>
    <mergeCell ref="E3:I3"/>
    <mergeCell ref="J3:L3"/>
    <mergeCell ref="M3:M4"/>
  </mergeCells>
  <pageMargins left="0.11811023622047245" right="0" top="0.74803149606299213" bottom="0.74803149606299213" header="0.31496062992125984" footer="0.31496062992125984"/>
  <pageSetup paperSize="9" scale="5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FMTO 01</vt:lpstr>
      <vt:lpstr>FMTO 02</vt:lpstr>
      <vt:lpstr>FMTO 03</vt:lpstr>
      <vt:lpstr>FMTO 04</vt:lpstr>
      <vt:lpstr>FMTO 05</vt:lpstr>
      <vt:lpstr>FMTO 06</vt:lpstr>
      <vt:lpstr>FMTO 07</vt:lpstr>
      <vt:lpstr>FMTO 08</vt:lpstr>
      <vt:lpstr>FMTO 09</vt:lpstr>
      <vt:lpstr>FMTO 10</vt:lpstr>
      <vt:lpstr>FMTO 11</vt:lpstr>
      <vt:lpstr>FMTO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De Cordova Lopez Del Solar</dc:creator>
  <cp:lastModifiedBy>Luis Enrique Pineda Larzo</cp:lastModifiedBy>
  <cp:lastPrinted>2022-09-16T20:28:37Z</cp:lastPrinted>
  <dcterms:created xsi:type="dcterms:W3CDTF">2022-08-23T21:13:02Z</dcterms:created>
  <dcterms:modified xsi:type="dcterms:W3CDTF">2022-10-04T23:42:47Z</dcterms:modified>
</cp:coreProperties>
</file>